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EIVFS02\Energieinstitut\EEB\2 aktiv\28.400 Beratung Kommunen\00_28.401 PM-kommunale\KGA\LNB Ravensburg\"/>
    </mc:Choice>
  </mc:AlternateContent>
  <bookViews>
    <workbookView xWindow="-120" yWindow="-120" windowWidth="29040" windowHeight="15840" activeTab="9"/>
  </bookViews>
  <sheets>
    <sheet name="Deckblatt" sheetId="1" r:id="rId1"/>
    <sheet name="Punktevergabe" sheetId="2" r:id="rId2"/>
    <sheet name="A 1.2" sheetId="4" r:id="rId3"/>
    <sheet name="A 1.3" sheetId="5" r:id="rId4"/>
    <sheet name="A 1.4" sheetId="6" r:id="rId5"/>
    <sheet name="Objektabelle" sheetId="7" r:id="rId6"/>
    <sheet name="A 1.5" sheetId="26" r:id="rId7"/>
    <sheet name="A 1.6" sheetId="20" r:id="rId8"/>
    <sheet name="A 1.7" sheetId="21" r:id="rId9"/>
    <sheet name="A 1.8" sheetId="22" r:id="rId10"/>
    <sheet name="B1 " sheetId="9" r:id="rId11"/>
    <sheet name="B1 Graphik" sheetId="10" state="hidden" r:id="rId12"/>
    <sheet name="B1b " sheetId="11" r:id="rId13"/>
    <sheet name="B1b Graphik" sheetId="12" state="hidden" r:id="rId14"/>
    <sheet name="B 1.5" sheetId="13" r:id="rId15"/>
    <sheet name="C 1.1" sheetId="14" r:id="rId16"/>
    <sheet name="C 1.2" sheetId="15" r:id="rId17"/>
    <sheet name="C 2.1" sheetId="16" r:id="rId18"/>
    <sheet name="D 1.1" sheetId="24" r:id="rId19"/>
    <sheet name="D 1.2" sheetId="25" r:id="rId20"/>
    <sheet name="D 2.1" sheetId="18" r:id="rId21"/>
    <sheet name="D 2.2" sheetId="19" r:id="rId22"/>
  </sheets>
  <externalReferences>
    <externalReference r:id="rId23"/>
    <externalReference r:id="rId24"/>
  </externalReferences>
  <definedNames>
    <definedName name="_ftn1" localSheetId="2">'A 1.2'!$A$28</definedName>
    <definedName name="_ftn1" localSheetId="3">'A 1.3'!#REF!</definedName>
    <definedName name="_ftn2" localSheetId="15">'C 1.1'!$A$12</definedName>
    <definedName name="_ftn2" localSheetId="16">'C 1.2'!$A$9</definedName>
    <definedName name="_ftn3" localSheetId="15">'C 1.1'!$A$13</definedName>
    <definedName name="_ftn3" localSheetId="16">'C 1.2'!$A$10</definedName>
    <definedName name="_ftn4" localSheetId="15">'C 1.1'!$A$14</definedName>
    <definedName name="_ftn4" localSheetId="16">'C 1.2'!$A$11</definedName>
    <definedName name="_ftnref1" localSheetId="2">'A 1.2'!#REF!</definedName>
    <definedName name="_ftnref1" localSheetId="3">'A 1.3'!$A$5</definedName>
    <definedName name="_ftnref2" localSheetId="15">'C 1.1'!$A$5</definedName>
    <definedName name="_ftnref2" localSheetId="16">'C 1.2'!$A$5</definedName>
    <definedName name="_ftnref3" localSheetId="15">'C 1.1'!#REF!</definedName>
    <definedName name="_ftnref3" localSheetId="16">'C 1.2'!#REF!</definedName>
    <definedName name="_ftnref4" localSheetId="15">'C 1.1'!#REF!</definedName>
    <definedName name="_ftnref4" localSheetId="16">'C 1.2'!#REF!</definedName>
    <definedName name="_Toc279322313" localSheetId="10">'B1 '!$A$5</definedName>
    <definedName name="_Toc279322313" localSheetId="11">'B1 Graphik'!#REF!</definedName>
    <definedName name="_Toc279322313" localSheetId="12">'B1b '!$A$6</definedName>
    <definedName name="_Toc279322313" localSheetId="13">'B1b Graphik'!#REF!</definedName>
    <definedName name="_Toc279405076" localSheetId="10">'B1 '!$A$5</definedName>
    <definedName name="_Toc279405076" localSheetId="11">'B1 Graphik'!#REF!</definedName>
    <definedName name="_Toc279405076" localSheetId="12">'B1b '!$A$6</definedName>
    <definedName name="_Toc279405076" localSheetId="13">'B1b Graphik'!#REF!</definedName>
    <definedName name="DropdownC1.1" localSheetId="16">'C 1.2'!$B$4:$B$5</definedName>
    <definedName name="DropdownC1.1">'C 1.1'!$B$4:$B$8</definedName>
    <definedName name="_xlnm.Print_Area" localSheetId="2">'A 1.2'!$A$1:$G$26</definedName>
    <definedName name="_xlnm.Print_Area" localSheetId="3">'A 1.3'!$A$1:$J$44</definedName>
    <definedName name="_xlnm.Print_Area" localSheetId="4">'A 1.4'!$A$1:$I$29</definedName>
    <definedName name="_xlnm.Print_Area" localSheetId="6">'A 1.5'!$A$1:$E$7</definedName>
    <definedName name="_xlnm.Print_Area" localSheetId="8">'A 1.7'!$A$1:$F$11</definedName>
    <definedName name="_xlnm.Print_Area" localSheetId="9">'A 1.8'!$A$1:$F$9</definedName>
    <definedName name="_xlnm.Print_Area" localSheetId="14">'B 1.5'!$A$1:$D$15</definedName>
    <definedName name="_xlnm.Print_Area" localSheetId="10">'B1 '!$A$1:$D$19</definedName>
    <definedName name="_xlnm.Print_Area" localSheetId="12">'B1b '!$A$1:$D$29</definedName>
    <definedName name="_xlnm.Print_Area" localSheetId="15">'C 1.1'!$A$1:$H$9</definedName>
    <definedName name="_xlnm.Print_Area" localSheetId="16">'C 1.2'!$A$1:$E$8</definedName>
    <definedName name="_xlnm.Print_Area" localSheetId="17">'C 2.1'!$A$1:$F$14</definedName>
    <definedName name="_xlnm.Print_Area" localSheetId="18">'D 1.1'!$B$1:$F$17</definedName>
    <definedName name="_xlnm.Print_Area" localSheetId="19">'D 1.2'!$A$1:$E$6</definedName>
    <definedName name="_xlnm.Print_Area" localSheetId="20">'D 2.1'!$A$1:$C$5</definedName>
    <definedName name="_xlnm.Print_Area" localSheetId="21">'D 2.2'!$A$1:$C$5</definedName>
    <definedName name="_xlnm.Print_Area" localSheetId="1">Punktevergabe!$B$1:$G$53,Punktevergabe!$O$1:$W$53,Punktevergabe!$Y$1:$AG$53,Punktevergabe!$AI$1:$AQ$53</definedName>
    <definedName name="EigennutzungPV">'B1 '!$E$11:$E$12</definedName>
    <definedName name="Gebaeude" localSheetId="6">[1]Objektabelle!$A$2:$A$9</definedName>
    <definedName name="Gebaeude" localSheetId="8">[1]Objektabelle!$A$2:$A$9</definedName>
    <definedName name="Gebaeude" localSheetId="9">[1]Objektabelle!$A$2:$A$9</definedName>
    <definedName name="Gebaeude" localSheetId="18">[1]Objektabelle!$A$2:$A$9</definedName>
    <definedName name="Gebaeude" localSheetId="19">[1]Objektabelle!$A$2:$A$9</definedName>
    <definedName name="Gebaeude">#NAME?</definedName>
    <definedName name="Gebaeudetyp" localSheetId="3">#REF!</definedName>
    <definedName name="Gebaeudetyp" localSheetId="4">#REF!</definedName>
    <definedName name="Gebaeudetyp" localSheetId="6">#REF!</definedName>
    <definedName name="Gebaeudetyp" localSheetId="8">#REF!</definedName>
    <definedName name="Gebaeudetyp" localSheetId="9">#REF!</definedName>
    <definedName name="Gebaeudetyp" localSheetId="14">#REF!</definedName>
    <definedName name="Gebaeudetyp" localSheetId="11">#REF!</definedName>
    <definedName name="Gebaeudetyp" localSheetId="13">#REF!</definedName>
    <definedName name="Gebaeudetyp" localSheetId="16">#REF!</definedName>
    <definedName name="Gebaeudetyp" localSheetId="18">#REF!</definedName>
    <definedName name="Gebaeudetyp" localSheetId="19">#REF!</definedName>
    <definedName name="Gebaeudetyp" localSheetId="20">#REF!</definedName>
    <definedName name="Gebaeudetyp" localSheetId="21">#REF!</definedName>
    <definedName name="Gebaeudetyp" localSheetId="0">#REF!</definedName>
    <definedName name="Gebaeudetyp" localSheetId="5">#REF!</definedName>
    <definedName name="Gebaeudetyp">#REF!</definedName>
    <definedName name="Gebäudetyp" localSheetId="3">#REF!</definedName>
    <definedName name="Gebäudetyp" localSheetId="6">#REF!</definedName>
    <definedName name="Gebäudetyp" localSheetId="8">#REF!</definedName>
    <definedName name="Gebäudetyp" localSheetId="9">#REF!</definedName>
    <definedName name="Gebäudetyp" localSheetId="14">#REF!</definedName>
    <definedName name="Gebäudetyp" localSheetId="11">#REF!</definedName>
    <definedName name="Gebäudetyp" localSheetId="13">#REF!</definedName>
    <definedName name="Gebäudetyp" localSheetId="16">#REF!</definedName>
    <definedName name="Gebäudetyp" localSheetId="18">#REF!</definedName>
    <definedName name="Gebäudetyp" localSheetId="19">#REF!</definedName>
    <definedName name="Gebäudetyp" localSheetId="20">#REF!</definedName>
    <definedName name="Gebäudetyp" localSheetId="21">#REF!</definedName>
    <definedName name="Gebäudetyp">#REF!</definedName>
    <definedName name="Gemeinde" localSheetId="6">[2]Gemeindetabelle!$A$2:$A$111</definedName>
    <definedName name="Gemeinde" localSheetId="8">[2]Gemeindetabelle!$A$2:$A$111</definedName>
    <definedName name="Gemeinde" localSheetId="9">[2]Gemeindetabelle!$A$2:$A$111</definedName>
    <definedName name="Gemeinde" localSheetId="18">[2]Gemeindetabelle!$A$2:$A$111</definedName>
    <definedName name="Gemeinde" localSheetId="19">[2]Gemeindetabelle!$A$2:$A$111</definedName>
    <definedName name="Gemeinde">#REF!</definedName>
    <definedName name="Heizgradtage" localSheetId="3">#REF!</definedName>
    <definedName name="Heizgradtage" localSheetId="4">#REF!</definedName>
    <definedName name="Heizgradtage" localSheetId="6">#REF!</definedName>
    <definedName name="Heizgradtage" localSheetId="8">#REF!</definedName>
    <definedName name="Heizgradtage" localSheetId="9">#REF!</definedName>
    <definedName name="Heizgradtage" localSheetId="14">#REF!</definedName>
    <definedName name="Heizgradtage" localSheetId="11">#REF!</definedName>
    <definedName name="Heizgradtage" localSheetId="13">#REF!</definedName>
    <definedName name="Heizgradtage" localSheetId="16">#REF!</definedName>
    <definedName name="Heizgradtage" localSheetId="18">#REF!</definedName>
    <definedName name="Heizgradtage" localSheetId="19">#REF!</definedName>
    <definedName name="Heizgradtage" localSheetId="20">#REF!</definedName>
    <definedName name="Heizgradtage" localSheetId="21">#REF!</definedName>
    <definedName name="Heizgradtage" localSheetId="0">#REF!</definedName>
    <definedName name="Heizgradtage" localSheetId="5">#REF!</definedName>
    <definedName name="Heizgradtage">#REF!</definedName>
    <definedName name="HGT" localSheetId="3">#REF!</definedName>
    <definedName name="HGT" localSheetId="4">#REF!</definedName>
    <definedName name="HGT" localSheetId="6">#REF!</definedName>
    <definedName name="HGT" localSheetId="8">#REF!</definedName>
    <definedName name="HGT" localSheetId="9">#REF!</definedName>
    <definedName name="HGT" localSheetId="14">#REF!</definedName>
    <definedName name="HGT" localSheetId="11">#REF!</definedName>
    <definedName name="HGT" localSheetId="13">#REF!</definedName>
    <definedName name="HGT" localSheetId="16">#REF!</definedName>
    <definedName name="HGT" localSheetId="18">#REF!</definedName>
    <definedName name="HGT" localSheetId="19">#REF!</definedName>
    <definedName name="HGT" localSheetId="20">#REF!</definedName>
    <definedName name="HGT" localSheetId="21">#REF!</definedName>
    <definedName name="HGT" localSheetId="0">#REF!</definedName>
    <definedName name="HGT" localSheetId="5">#REF!</definedName>
    <definedName name="HGT">#REF!</definedName>
    <definedName name="Kommunen" localSheetId="3">#REF!</definedName>
    <definedName name="Kommunen" localSheetId="4">#REF!</definedName>
    <definedName name="Kommunen" localSheetId="6">#REF!</definedName>
    <definedName name="Kommunen" localSheetId="8">#REF!</definedName>
    <definedName name="Kommunen" localSheetId="9">#REF!</definedName>
    <definedName name="Kommunen" localSheetId="14">#REF!</definedName>
    <definedName name="Kommunen" localSheetId="11">#REF!</definedName>
    <definedName name="Kommunen" localSheetId="13">#REF!</definedName>
    <definedName name="Kommunen" localSheetId="16">#REF!</definedName>
    <definedName name="Kommunen" localSheetId="18">#REF!</definedName>
    <definedName name="Kommunen" localSheetId="19">#REF!</definedName>
    <definedName name="Kommunen" localSheetId="20">#REF!</definedName>
    <definedName name="Kommunen" localSheetId="21">#REF!</definedName>
    <definedName name="Kommunen" localSheetId="0">#REF!</definedName>
    <definedName name="Kommunen" localSheetId="5">#REF!</definedName>
    <definedName name="Kommunen">#REF!</definedName>
    <definedName name="Max" localSheetId="3">#REF!</definedName>
    <definedName name="Max" localSheetId="4">#REF!</definedName>
    <definedName name="Max" localSheetId="6">#REF!</definedName>
    <definedName name="Max" localSheetId="8">#REF!</definedName>
    <definedName name="Max" localSheetId="9">#REF!</definedName>
    <definedName name="Max" localSheetId="14">#REF!</definedName>
    <definedName name="Max" localSheetId="11">#REF!</definedName>
    <definedName name="Max" localSheetId="13">#REF!</definedName>
    <definedName name="Max" localSheetId="16">#REF!</definedName>
    <definedName name="Max" localSheetId="18">#REF!</definedName>
    <definedName name="Max" localSheetId="19">#REF!</definedName>
    <definedName name="Max" localSheetId="20">#REF!</definedName>
    <definedName name="Max" localSheetId="21">#REF!</definedName>
    <definedName name="Max" localSheetId="0">#REF!</definedName>
    <definedName name="Max" localSheetId="5">#REF!</definedName>
    <definedName name="Max">#REF!</definedName>
    <definedName name="Min" localSheetId="3">#REF!</definedName>
    <definedName name="Min" localSheetId="4">#REF!</definedName>
    <definedName name="Min" localSheetId="6">#REF!</definedName>
    <definedName name="Min" localSheetId="8">#REF!</definedName>
    <definedName name="Min" localSheetId="9">#REF!</definedName>
    <definedName name="Min" localSheetId="14">#REF!</definedName>
    <definedName name="Min" localSheetId="11">#REF!</definedName>
    <definedName name="Min" localSheetId="13">#REF!</definedName>
    <definedName name="Min" localSheetId="16">#REF!</definedName>
    <definedName name="Min" localSheetId="18">#REF!</definedName>
    <definedName name="Min" localSheetId="19">#REF!</definedName>
    <definedName name="Min" localSheetId="20">#REF!</definedName>
    <definedName name="Min" localSheetId="21">#REF!</definedName>
    <definedName name="Min" localSheetId="0">#REF!</definedName>
    <definedName name="Min" localSheetId="5">#REF!</definedName>
    <definedName name="Min">#REF!</definedName>
    <definedName name="Objekttyp" localSheetId="6">[2]Objektabelle!$A$2:$A$9</definedName>
    <definedName name="Objekttyp" localSheetId="8">[2]Objektabelle!$A$2:$A$9</definedName>
    <definedName name="Objekttyp" localSheetId="9">[2]Objektabelle!$A$2:$A$9</definedName>
    <definedName name="Objekttyp" localSheetId="18">[2]Objektabelle!$A$2:$A$9</definedName>
    <definedName name="Objekttyp" localSheetId="19">[2]Objektabelle!$A$2:$A$9</definedName>
    <definedName name="Objekttyp">Objektabelle!$A$2:$A$7</definedName>
    <definedName name="Orte" localSheetId="6">[1]Gemeindetabelle!$A$2:$A$111</definedName>
    <definedName name="Orte" localSheetId="8">[1]Gemeindetabelle!$A$2:$A$111</definedName>
    <definedName name="Orte" localSheetId="9">[1]Gemeindetabelle!$A$2:$A$111</definedName>
    <definedName name="Orte" localSheetId="18">[1]Gemeindetabelle!$A$2:$A$111</definedName>
    <definedName name="Orte" localSheetId="19">[1]Gemeindetabelle!$A$2:$A$111</definedName>
    <definedName name="Orte">#NAME?</definedName>
    <definedName name="Planstand" localSheetId="3">#REF!</definedName>
    <definedName name="Planstand" localSheetId="4">#REF!</definedName>
    <definedName name="Planstand" localSheetId="6">#REF!</definedName>
    <definedName name="Planstand" localSheetId="8">#REF!</definedName>
    <definedName name="Planstand" localSheetId="9">#REF!</definedName>
    <definedName name="Planstand" localSheetId="14">#REF!</definedName>
    <definedName name="Planstand" localSheetId="11">#REF!</definedName>
    <definedName name="Planstand" localSheetId="13">#REF!</definedName>
    <definedName name="Planstand" localSheetId="16">#REF!</definedName>
    <definedName name="Planstand" localSheetId="18">#REF!</definedName>
    <definedName name="Planstand" localSheetId="19">#REF!</definedName>
    <definedName name="Planstand" localSheetId="20">#REF!</definedName>
    <definedName name="Planstand" localSheetId="21">#REF!</definedName>
    <definedName name="Planstand" localSheetId="0">#REF!</definedName>
    <definedName name="Planstand" localSheetId="5">#REF!</definedName>
    <definedName name="Planstand">#REF!</definedName>
    <definedName name="Punktemax" localSheetId="3">#REF!</definedName>
    <definedName name="Punktemax" localSheetId="4">#REF!</definedName>
    <definedName name="Punktemax" localSheetId="6">#REF!</definedName>
    <definedName name="Punktemax" localSheetId="8">#REF!</definedName>
    <definedName name="Punktemax" localSheetId="9">#REF!</definedName>
    <definedName name="Punktemax" localSheetId="14">#REF!</definedName>
    <definedName name="Punktemax" localSheetId="11">#REF!</definedName>
    <definedName name="Punktemax" localSheetId="13">#REF!</definedName>
    <definedName name="Punktemax" localSheetId="16">#REF!</definedName>
    <definedName name="Punktemax" localSheetId="18">#REF!</definedName>
    <definedName name="Punktemax" localSheetId="19">#REF!</definedName>
    <definedName name="Punktemax" localSheetId="20">#REF!</definedName>
    <definedName name="Punktemax" localSheetId="21">#REF!</definedName>
    <definedName name="Punktemax" localSheetId="0">#REF!</definedName>
    <definedName name="Punktemax" localSheetId="5">#REF!</definedName>
    <definedName name="Punktemax">#REF!</definedName>
    <definedName name="Punktemin" localSheetId="3">#REF!</definedName>
    <definedName name="Punktemin" localSheetId="4">#REF!</definedName>
    <definedName name="Punktemin" localSheetId="6">#REF!</definedName>
    <definedName name="Punktemin" localSheetId="8">#REF!</definedName>
    <definedName name="Punktemin" localSheetId="9">#REF!</definedName>
    <definedName name="Punktemin" localSheetId="14">#REF!</definedName>
    <definedName name="Punktemin" localSheetId="11">#REF!</definedName>
    <definedName name="Punktemin" localSheetId="13">#REF!</definedName>
    <definedName name="Punktemin" localSheetId="16">#REF!</definedName>
    <definedName name="Punktemin" localSheetId="18">#REF!</definedName>
    <definedName name="Punktemin" localSheetId="19">#REF!</definedName>
    <definedName name="Punktemin" localSheetId="20">#REF!</definedName>
    <definedName name="Punktemin" localSheetId="21">#REF!</definedName>
    <definedName name="Punktemin" localSheetId="0">#REF!</definedName>
    <definedName name="Punktemin" localSheetId="5">#REF!</definedName>
    <definedName name="Punktemin">#REF!</definedName>
    <definedName name="Rad_Druckbereich" localSheetId="4">'A 1.4'!$A$1:$I$30</definedName>
    <definedName name="Rad_Max" localSheetId="4">'A 1.4'!$E$22</definedName>
    <definedName name="Rad_Min" localSheetId="4">'A 1.4'!$E$21</definedName>
    <definedName name="Rad_Planstand" localSheetId="4">'A 1.4'!$B$12</definedName>
    <definedName name="Rad_Punktemax" localSheetId="4">'A 1.4'!$D$22</definedName>
    <definedName name="Rad_Punktemin" localSheetId="4">'A 1.4'!$D$21</definedName>
    <definedName name="sfdgs" localSheetId="3">#REF!</definedName>
    <definedName name="sfdgs" localSheetId="6">#REF!</definedName>
    <definedName name="sfdgs" localSheetId="8">#REF!</definedName>
    <definedName name="sfdgs" localSheetId="9">#REF!</definedName>
    <definedName name="sfdgs" localSheetId="16">#REF!</definedName>
    <definedName name="sfdgs" localSheetId="18">#REF!</definedName>
    <definedName name="sfdgs" localSheetId="19">#REF!</definedName>
    <definedName name="sfdgs">#REF!</definedName>
    <definedName name="Z_900BB99C_5F12_4578_9AB6_A71D1D7EE1B7_.wvu.PrintArea" localSheetId="1" hidden="1">Punktevergabe!$B$1:$G$53</definedName>
    <definedName name="Z_900BB99C_5F12_4578_9AB6_A71D1D7EE1B7_.wvu.PrintTitles" localSheetId="1" hidden="1">Punktevergabe!$1:$10</definedName>
    <definedName name="Z_900BB99C_5F12_4578_9AB6_A71D1D7EE1B7_.wvu.Rows" localSheetId="1" hidden="1">Punktevergabe!$8:$8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4" l="1"/>
  <c r="E41" i="5" l="1"/>
  <c r="E16" i="5"/>
  <c r="E37" i="5"/>
  <c r="C7" i="26" l="1"/>
  <c r="B5" i="18"/>
  <c r="B17" i="6"/>
  <c r="G47" i="2" l="1"/>
  <c r="D17" i="24"/>
  <c r="G48" i="2" s="1"/>
  <c r="G16" i="2"/>
  <c r="G49" i="2"/>
  <c r="C6" i="25"/>
  <c r="G18" i="2" l="1"/>
  <c r="D7" i="22"/>
  <c r="G19" i="2" s="1"/>
  <c r="D9" i="21"/>
  <c r="B18" i="6" l="1"/>
  <c r="O15" i="6" l="1"/>
  <c r="E16" i="20" l="1"/>
  <c r="E13" i="20"/>
  <c r="E11" i="20"/>
  <c r="E9" i="20"/>
  <c r="E7" i="20"/>
  <c r="E5" i="5"/>
  <c r="E22" i="5"/>
  <c r="E28" i="5"/>
  <c r="D7" i="7"/>
  <c r="C7" i="7"/>
  <c r="D6" i="7"/>
  <c r="C6" i="7"/>
  <c r="D5" i="7"/>
  <c r="C5" i="7"/>
  <c r="D4" i="7"/>
  <c r="C4" i="7"/>
  <c r="D2" i="7"/>
  <c r="C2" i="7"/>
  <c r="A7" i="6"/>
  <c r="B5" i="19"/>
  <c r="A5" i="19"/>
  <c r="A5" i="18"/>
  <c r="D14" i="16"/>
  <c r="C6" i="15"/>
  <c r="C9" i="14"/>
  <c r="B13" i="13"/>
  <c r="B15" i="13" s="1"/>
  <c r="B10" i="13"/>
  <c r="B9" i="13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R229" i="12"/>
  <c r="D229" i="12"/>
  <c r="R228" i="12"/>
  <c r="D228" i="12"/>
  <c r="R227" i="12"/>
  <c r="D227" i="12"/>
  <c r="R226" i="12"/>
  <c r="D226" i="12"/>
  <c r="R225" i="12"/>
  <c r="D225" i="12"/>
  <c r="R224" i="12"/>
  <c r="D224" i="12"/>
  <c r="R223" i="12"/>
  <c r="D223" i="12"/>
  <c r="R222" i="12"/>
  <c r="D222" i="12"/>
  <c r="R221" i="12"/>
  <c r="D221" i="12"/>
  <c r="R220" i="12"/>
  <c r="D220" i="12"/>
  <c r="R219" i="12"/>
  <c r="D219" i="12"/>
  <c r="R218" i="12"/>
  <c r="D218" i="12"/>
  <c r="R217" i="12"/>
  <c r="D217" i="12"/>
  <c r="R216" i="12"/>
  <c r="D216" i="12"/>
  <c r="R215" i="12"/>
  <c r="D215" i="12"/>
  <c r="R214" i="12"/>
  <c r="D214" i="12"/>
  <c r="R213" i="12"/>
  <c r="D213" i="12"/>
  <c r="R212" i="12"/>
  <c r="D212" i="12"/>
  <c r="R211" i="12"/>
  <c r="D211" i="12"/>
  <c r="R210" i="12"/>
  <c r="D210" i="12"/>
  <c r="R209" i="12"/>
  <c r="D209" i="12"/>
  <c r="R208" i="12"/>
  <c r="D208" i="12"/>
  <c r="R207" i="12"/>
  <c r="D207" i="12"/>
  <c r="R206" i="12"/>
  <c r="D206" i="12"/>
  <c r="R205" i="12"/>
  <c r="D205" i="12"/>
  <c r="R204" i="12"/>
  <c r="D204" i="12"/>
  <c r="R203" i="12"/>
  <c r="D203" i="12"/>
  <c r="R202" i="12"/>
  <c r="D202" i="12"/>
  <c r="R201" i="12"/>
  <c r="D201" i="12"/>
  <c r="R200" i="12"/>
  <c r="D200" i="12"/>
  <c r="R199" i="12"/>
  <c r="N199" i="12"/>
  <c r="D199" i="12"/>
  <c r="R198" i="12"/>
  <c r="N198" i="12"/>
  <c r="D198" i="12"/>
  <c r="R197" i="12"/>
  <c r="N197" i="12"/>
  <c r="D197" i="12"/>
  <c r="R196" i="12"/>
  <c r="N196" i="12"/>
  <c r="D196" i="12"/>
  <c r="R195" i="12"/>
  <c r="N195" i="12"/>
  <c r="D195" i="12"/>
  <c r="R194" i="12"/>
  <c r="N194" i="12"/>
  <c r="D194" i="12"/>
  <c r="R193" i="12"/>
  <c r="N193" i="12"/>
  <c r="D193" i="12"/>
  <c r="R192" i="12"/>
  <c r="N192" i="12"/>
  <c r="D192" i="12"/>
  <c r="R191" i="12"/>
  <c r="N191" i="12"/>
  <c r="D191" i="12"/>
  <c r="R190" i="12"/>
  <c r="N190" i="12"/>
  <c r="D190" i="12"/>
  <c r="R189" i="12"/>
  <c r="N189" i="12"/>
  <c r="D189" i="12"/>
  <c r="R188" i="12"/>
  <c r="N188" i="12"/>
  <c r="F188" i="12"/>
  <c r="D188" i="12"/>
  <c r="R187" i="12"/>
  <c r="N187" i="12"/>
  <c r="F187" i="12"/>
  <c r="D187" i="12"/>
  <c r="R186" i="12"/>
  <c r="N186" i="12"/>
  <c r="F186" i="12"/>
  <c r="D186" i="12"/>
  <c r="R185" i="12"/>
  <c r="N185" i="12"/>
  <c r="F185" i="12"/>
  <c r="D185" i="12"/>
  <c r="R184" i="12"/>
  <c r="N184" i="12"/>
  <c r="F184" i="12"/>
  <c r="D184" i="12"/>
  <c r="R183" i="12"/>
  <c r="N183" i="12"/>
  <c r="F183" i="12"/>
  <c r="D183" i="12"/>
  <c r="R182" i="12"/>
  <c r="N182" i="12"/>
  <c r="F182" i="12"/>
  <c r="D182" i="12"/>
  <c r="R181" i="12"/>
  <c r="N181" i="12"/>
  <c r="F181" i="12"/>
  <c r="D181" i="12"/>
  <c r="R180" i="12"/>
  <c r="N180" i="12"/>
  <c r="F180" i="12"/>
  <c r="D180" i="12"/>
  <c r="R179" i="12"/>
  <c r="N179" i="12"/>
  <c r="F179" i="12"/>
  <c r="D179" i="12"/>
  <c r="R178" i="12"/>
  <c r="N178" i="12"/>
  <c r="F178" i="12"/>
  <c r="D178" i="12"/>
  <c r="R177" i="12"/>
  <c r="N177" i="12"/>
  <c r="F177" i="12"/>
  <c r="D177" i="12"/>
  <c r="R176" i="12"/>
  <c r="N176" i="12"/>
  <c r="F176" i="12"/>
  <c r="D176" i="12"/>
  <c r="B176" i="12"/>
  <c r="R175" i="12"/>
  <c r="N175" i="12"/>
  <c r="F175" i="12"/>
  <c r="D175" i="12"/>
  <c r="B175" i="12"/>
  <c r="R174" i="12"/>
  <c r="N174" i="12"/>
  <c r="F174" i="12"/>
  <c r="D174" i="12"/>
  <c r="B174" i="12"/>
  <c r="R173" i="12"/>
  <c r="N173" i="12"/>
  <c r="F173" i="12"/>
  <c r="D173" i="12"/>
  <c r="B173" i="12"/>
  <c r="R172" i="12"/>
  <c r="N172" i="12"/>
  <c r="F172" i="12"/>
  <c r="D172" i="12"/>
  <c r="B172" i="12"/>
  <c r="R171" i="12"/>
  <c r="N171" i="12"/>
  <c r="F171" i="12"/>
  <c r="D171" i="12"/>
  <c r="B171" i="12"/>
  <c r="R170" i="12"/>
  <c r="N170" i="12"/>
  <c r="F170" i="12"/>
  <c r="D170" i="12"/>
  <c r="B170" i="12"/>
  <c r="R169" i="12"/>
  <c r="N169" i="12"/>
  <c r="F169" i="12"/>
  <c r="D169" i="12"/>
  <c r="B169" i="12"/>
  <c r="R168" i="12"/>
  <c r="N168" i="12"/>
  <c r="F168" i="12"/>
  <c r="D168" i="12"/>
  <c r="B168" i="12"/>
  <c r="R167" i="12"/>
  <c r="N167" i="12"/>
  <c r="F167" i="12"/>
  <c r="D167" i="12"/>
  <c r="B167" i="12"/>
  <c r="R166" i="12"/>
  <c r="N166" i="12"/>
  <c r="F166" i="12"/>
  <c r="D166" i="12"/>
  <c r="B166" i="12"/>
  <c r="R165" i="12"/>
  <c r="N165" i="12"/>
  <c r="F165" i="12"/>
  <c r="D165" i="12"/>
  <c r="B165" i="12"/>
  <c r="R164" i="12"/>
  <c r="N164" i="12"/>
  <c r="F164" i="12"/>
  <c r="D164" i="12"/>
  <c r="B164" i="12"/>
  <c r="R163" i="12"/>
  <c r="N163" i="12"/>
  <c r="F163" i="12"/>
  <c r="D163" i="12"/>
  <c r="B163" i="12"/>
  <c r="R162" i="12"/>
  <c r="N162" i="12"/>
  <c r="F162" i="12"/>
  <c r="D162" i="12"/>
  <c r="B162" i="12"/>
  <c r="R161" i="12"/>
  <c r="N161" i="12"/>
  <c r="F161" i="12"/>
  <c r="D161" i="12"/>
  <c r="B161" i="12"/>
  <c r="R160" i="12"/>
  <c r="N160" i="12"/>
  <c r="F160" i="12"/>
  <c r="D160" i="12"/>
  <c r="B160" i="12"/>
  <c r="R159" i="12"/>
  <c r="N159" i="12"/>
  <c r="F159" i="12"/>
  <c r="D159" i="12"/>
  <c r="B159" i="12"/>
  <c r="R158" i="12"/>
  <c r="N158" i="12"/>
  <c r="F158" i="12"/>
  <c r="D158" i="12"/>
  <c r="B158" i="12"/>
  <c r="R157" i="12"/>
  <c r="N157" i="12"/>
  <c r="F157" i="12"/>
  <c r="D157" i="12"/>
  <c r="B157" i="12"/>
  <c r="R156" i="12"/>
  <c r="N156" i="12"/>
  <c r="F156" i="12"/>
  <c r="D156" i="12"/>
  <c r="B156" i="12"/>
  <c r="R155" i="12"/>
  <c r="N155" i="12"/>
  <c r="F155" i="12"/>
  <c r="D155" i="12"/>
  <c r="B155" i="12"/>
  <c r="R154" i="12"/>
  <c r="N154" i="12"/>
  <c r="F154" i="12"/>
  <c r="D154" i="12"/>
  <c r="B154" i="12"/>
  <c r="R153" i="12"/>
  <c r="N153" i="12"/>
  <c r="F153" i="12"/>
  <c r="D153" i="12"/>
  <c r="B153" i="12"/>
  <c r="R152" i="12"/>
  <c r="N152" i="12"/>
  <c r="F152" i="12"/>
  <c r="D152" i="12"/>
  <c r="B152" i="12"/>
  <c r="R151" i="12"/>
  <c r="N151" i="12"/>
  <c r="F151" i="12"/>
  <c r="D151" i="12"/>
  <c r="B151" i="12"/>
  <c r="R150" i="12"/>
  <c r="N150" i="12"/>
  <c r="F150" i="12"/>
  <c r="D150" i="12"/>
  <c r="B150" i="12"/>
  <c r="R149" i="12"/>
  <c r="N149" i="12"/>
  <c r="F149" i="12"/>
  <c r="D149" i="12"/>
  <c r="B149" i="12"/>
  <c r="R148" i="12"/>
  <c r="N148" i="12"/>
  <c r="F148" i="12"/>
  <c r="D148" i="12"/>
  <c r="B148" i="12"/>
  <c r="R147" i="12"/>
  <c r="N147" i="12"/>
  <c r="F147" i="12"/>
  <c r="D147" i="12"/>
  <c r="B147" i="12"/>
  <c r="R146" i="12"/>
  <c r="N146" i="12"/>
  <c r="F146" i="12"/>
  <c r="D146" i="12"/>
  <c r="B146" i="12"/>
  <c r="R145" i="12"/>
  <c r="F145" i="12"/>
  <c r="D145" i="12"/>
  <c r="B145" i="12"/>
  <c r="R144" i="12"/>
  <c r="F144" i="12"/>
  <c r="D144" i="12"/>
  <c r="B144" i="12"/>
  <c r="V143" i="12"/>
  <c r="R143" i="12"/>
  <c r="F143" i="12"/>
  <c r="D143" i="12"/>
  <c r="B143" i="12"/>
  <c r="V142" i="12"/>
  <c r="R142" i="12"/>
  <c r="F142" i="12"/>
  <c r="D142" i="12"/>
  <c r="B142" i="12"/>
  <c r="V141" i="12"/>
  <c r="R141" i="12"/>
  <c r="F141" i="12"/>
  <c r="D141" i="12"/>
  <c r="B141" i="12"/>
  <c r="V140" i="12"/>
  <c r="R140" i="12"/>
  <c r="F140" i="12"/>
  <c r="D140" i="12"/>
  <c r="B140" i="12"/>
  <c r="V139" i="12"/>
  <c r="R139" i="12"/>
  <c r="F139" i="12"/>
  <c r="D139" i="12"/>
  <c r="B139" i="12"/>
  <c r="V138" i="12"/>
  <c r="R138" i="12"/>
  <c r="F138" i="12"/>
  <c r="D138" i="12"/>
  <c r="B138" i="12"/>
  <c r="V137" i="12"/>
  <c r="R137" i="12"/>
  <c r="F137" i="12"/>
  <c r="D137" i="12"/>
  <c r="B137" i="12"/>
  <c r="V136" i="12"/>
  <c r="R136" i="12"/>
  <c r="F136" i="12"/>
  <c r="D136" i="12"/>
  <c r="B136" i="12"/>
  <c r="V135" i="12"/>
  <c r="R135" i="12"/>
  <c r="J135" i="12"/>
  <c r="F135" i="12"/>
  <c r="D135" i="12"/>
  <c r="B135" i="12"/>
  <c r="V134" i="12"/>
  <c r="R134" i="12"/>
  <c r="J134" i="12"/>
  <c r="F134" i="12"/>
  <c r="D134" i="12"/>
  <c r="B134" i="12"/>
  <c r="V133" i="12"/>
  <c r="R133" i="12"/>
  <c r="J133" i="12"/>
  <c r="F133" i="12"/>
  <c r="D133" i="12"/>
  <c r="B133" i="12"/>
  <c r="V132" i="12"/>
  <c r="R132" i="12"/>
  <c r="J132" i="12"/>
  <c r="F132" i="12"/>
  <c r="D132" i="12"/>
  <c r="B132" i="12"/>
  <c r="V131" i="12"/>
  <c r="R131" i="12"/>
  <c r="J131" i="12"/>
  <c r="F131" i="12"/>
  <c r="D131" i="12"/>
  <c r="B131" i="12"/>
  <c r="V130" i="12"/>
  <c r="R130" i="12"/>
  <c r="J130" i="12"/>
  <c r="F130" i="12"/>
  <c r="D130" i="12"/>
  <c r="B130" i="12"/>
  <c r="V129" i="12"/>
  <c r="R129" i="12"/>
  <c r="J129" i="12"/>
  <c r="F129" i="12"/>
  <c r="D129" i="12"/>
  <c r="B129" i="12"/>
  <c r="V128" i="12"/>
  <c r="R128" i="12"/>
  <c r="J128" i="12"/>
  <c r="F128" i="12"/>
  <c r="D128" i="12"/>
  <c r="B128" i="12"/>
  <c r="V127" i="12"/>
  <c r="R127" i="12"/>
  <c r="J127" i="12"/>
  <c r="F127" i="12"/>
  <c r="B127" i="12"/>
  <c r="V126" i="12"/>
  <c r="R126" i="12"/>
  <c r="J126" i="12"/>
  <c r="F126" i="12"/>
  <c r="V125" i="12"/>
  <c r="R125" i="12"/>
  <c r="J125" i="12"/>
  <c r="F125" i="12"/>
  <c r="V124" i="12"/>
  <c r="R124" i="12"/>
  <c r="J124" i="12"/>
  <c r="F124" i="12"/>
  <c r="V123" i="12"/>
  <c r="R123" i="12"/>
  <c r="J123" i="12"/>
  <c r="F123" i="12"/>
  <c r="V122" i="12"/>
  <c r="R122" i="12"/>
  <c r="J122" i="12"/>
  <c r="F122" i="12"/>
  <c r="V121" i="12"/>
  <c r="R121" i="12"/>
  <c r="J121" i="12"/>
  <c r="F121" i="12"/>
  <c r="V120" i="12"/>
  <c r="R120" i="12"/>
  <c r="J120" i="12"/>
  <c r="F120" i="12"/>
  <c r="V119" i="12"/>
  <c r="R119" i="12"/>
  <c r="J119" i="12"/>
  <c r="F119" i="12"/>
  <c r="V118" i="12"/>
  <c r="R118" i="12"/>
  <c r="J118" i="12"/>
  <c r="F118" i="12"/>
  <c r="V117" i="12"/>
  <c r="R117" i="12"/>
  <c r="J117" i="12"/>
  <c r="F117" i="12"/>
  <c r="V116" i="12"/>
  <c r="R116" i="12"/>
  <c r="J116" i="12"/>
  <c r="F116" i="12"/>
  <c r="V115" i="12"/>
  <c r="R115" i="12"/>
  <c r="J115" i="12"/>
  <c r="F115" i="12"/>
  <c r="V114" i="12"/>
  <c r="R114" i="12"/>
  <c r="J114" i="12"/>
  <c r="F114" i="12"/>
  <c r="R113" i="12"/>
  <c r="J113" i="12"/>
  <c r="F113" i="12"/>
  <c r="R112" i="12"/>
  <c r="N112" i="12"/>
  <c r="J112" i="12"/>
  <c r="F112" i="12"/>
  <c r="R111" i="12"/>
  <c r="N111" i="12"/>
  <c r="J111" i="12"/>
  <c r="F111" i="12"/>
  <c r="R110" i="12"/>
  <c r="N110" i="12"/>
  <c r="J110" i="12"/>
  <c r="F110" i="12"/>
  <c r="N109" i="12"/>
  <c r="J109" i="12"/>
  <c r="F109" i="12"/>
  <c r="N108" i="12"/>
  <c r="J108" i="12"/>
  <c r="N107" i="12"/>
  <c r="J107" i="12"/>
  <c r="N106" i="12"/>
  <c r="J106" i="12"/>
  <c r="N105" i="12"/>
  <c r="N104" i="12"/>
  <c r="N103" i="12"/>
  <c r="B103" i="12"/>
  <c r="N102" i="12"/>
  <c r="B102" i="12"/>
  <c r="N101" i="12"/>
  <c r="B101" i="12"/>
  <c r="N100" i="12"/>
  <c r="B100" i="12"/>
  <c r="N99" i="12"/>
  <c r="B99" i="12"/>
  <c r="N98" i="12"/>
  <c r="H98" i="12"/>
  <c r="B98" i="12"/>
  <c r="N97" i="12"/>
  <c r="H97" i="12"/>
  <c r="B97" i="12"/>
  <c r="N96" i="12"/>
  <c r="H96" i="12"/>
  <c r="B96" i="12"/>
  <c r="N95" i="12"/>
  <c r="H95" i="12"/>
  <c r="B95" i="12"/>
  <c r="N94" i="12"/>
  <c r="H94" i="12"/>
  <c r="B94" i="12"/>
  <c r="N93" i="12"/>
  <c r="H93" i="12"/>
  <c r="B93" i="12"/>
  <c r="N92" i="12"/>
  <c r="H92" i="12"/>
  <c r="B92" i="12"/>
  <c r="V91" i="12"/>
  <c r="N91" i="12"/>
  <c r="H91" i="12"/>
  <c r="B91" i="12"/>
  <c r="V90" i="12"/>
  <c r="N90" i="12"/>
  <c r="H90" i="12"/>
  <c r="B90" i="12"/>
  <c r="V89" i="12"/>
  <c r="N89" i="12"/>
  <c r="H89" i="12"/>
  <c r="B89" i="12"/>
  <c r="V88" i="12"/>
  <c r="H88" i="12"/>
  <c r="B88" i="12"/>
  <c r="V87" i="12"/>
  <c r="H87" i="12"/>
  <c r="B87" i="12"/>
  <c r="V86" i="12"/>
  <c r="H86" i="12"/>
  <c r="B86" i="12"/>
  <c r="V85" i="12"/>
  <c r="H85" i="12"/>
  <c r="B85" i="12"/>
  <c r="V84" i="12"/>
  <c r="H84" i="12"/>
  <c r="B84" i="12"/>
  <c r="V83" i="12"/>
  <c r="J83" i="12"/>
  <c r="H83" i="12"/>
  <c r="B83" i="12"/>
  <c r="V82" i="12"/>
  <c r="J82" i="12"/>
  <c r="H82" i="12"/>
  <c r="B82" i="12"/>
  <c r="V81" i="12"/>
  <c r="J81" i="12"/>
  <c r="H81" i="12"/>
  <c r="B81" i="12"/>
  <c r="V80" i="12"/>
  <c r="J80" i="12"/>
  <c r="H80" i="12"/>
  <c r="B80" i="12"/>
  <c r="V79" i="12"/>
  <c r="J79" i="12"/>
  <c r="H79" i="12"/>
  <c r="B79" i="12"/>
  <c r="V78" i="12"/>
  <c r="J78" i="12"/>
  <c r="H78" i="12"/>
  <c r="V77" i="12"/>
  <c r="J77" i="12"/>
  <c r="H77" i="12"/>
  <c r="V76" i="12"/>
  <c r="J76" i="12"/>
  <c r="H76" i="12"/>
  <c r="V75" i="12"/>
  <c r="J75" i="12"/>
  <c r="H75" i="12"/>
  <c r="V74" i="12"/>
  <c r="J74" i="12"/>
  <c r="H74" i="12"/>
  <c r="V73" i="12"/>
  <c r="J73" i="12"/>
  <c r="H73" i="12"/>
  <c r="V72" i="12"/>
  <c r="J72" i="12"/>
  <c r="H72" i="12"/>
  <c r="V71" i="12"/>
  <c r="J71" i="12"/>
  <c r="H71" i="12"/>
  <c r="V70" i="12"/>
  <c r="J70" i="12"/>
  <c r="H70" i="12"/>
  <c r="V69" i="12"/>
  <c r="J69" i="12"/>
  <c r="H69" i="12"/>
  <c r="V68" i="12"/>
  <c r="J68" i="12"/>
  <c r="H68" i="12"/>
  <c r="V67" i="12"/>
  <c r="J67" i="12"/>
  <c r="V66" i="12"/>
  <c r="J66" i="12"/>
  <c r="V65" i="12"/>
  <c r="J65" i="12"/>
  <c r="V64" i="12"/>
  <c r="J64" i="12"/>
  <c r="V63" i="12"/>
  <c r="J63" i="12"/>
  <c r="V62" i="12"/>
  <c r="J62" i="12"/>
  <c r="V61" i="12"/>
  <c r="J61" i="12"/>
  <c r="V60" i="12"/>
  <c r="J60" i="12"/>
  <c r="J59" i="12"/>
  <c r="L17" i="11"/>
  <c r="G17" i="11"/>
  <c r="L16" i="11"/>
  <c r="G16" i="11"/>
  <c r="L15" i="11"/>
  <c r="G15" i="11"/>
  <c r="L14" i="11"/>
  <c r="G14" i="11"/>
  <c r="L13" i="11"/>
  <c r="G13" i="11"/>
  <c r="G24" i="11" s="1"/>
  <c r="G29" i="11" s="1"/>
  <c r="B29" i="11" s="1"/>
  <c r="G35" i="2" s="1"/>
  <c r="L12" i="11"/>
  <c r="L23" i="11" s="1"/>
  <c r="L28" i="11" s="1"/>
  <c r="G12" i="11"/>
  <c r="L11" i="11"/>
  <c r="L27" i="11" s="1"/>
  <c r="G11" i="11"/>
  <c r="G27" i="11" s="1"/>
  <c r="B27" i="11" s="1"/>
  <c r="G33" i="2" s="1"/>
  <c r="L10" i="11"/>
  <c r="G10" i="11"/>
  <c r="L9" i="11"/>
  <c r="G9" i="11"/>
  <c r="L8" i="11"/>
  <c r="G8" i="11"/>
  <c r="L7" i="11"/>
  <c r="G7" i="11"/>
  <c r="L6" i="11"/>
  <c r="L25" i="11" s="1"/>
  <c r="G6" i="11"/>
  <c r="G25" i="11" s="1"/>
  <c r="B25" i="11" s="1"/>
  <c r="G31" i="2" s="1"/>
  <c r="L5" i="11"/>
  <c r="G5" i="11"/>
  <c r="L4" i="11"/>
  <c r="M25" i="11" s="1"/>
  <c r="G4" i="11"/>
  <c r="H25" i="11" s="1"/>
  <c r="A3" i="11"/>
  <c r="N148" i="10"/>
  <c r="N147" i="10"/>
  <c r="N146" i="10"/>
  <c r="N145" i="10"/>
  <c r="N144" i="10"/>
  <c r="N143" i="10"/>
  <c r="N142" i="10"/>
  <c r="N141" i="10"/>
  <c r="N140" i="10"/>
  <c r="N139" i="10"/>
  <c r="N138" i="10"/>
  <c r="N137" i="10"/>
  <c r="N136" i="10"/>
  <c r="N135" i="10"/>
  <c r="N134" i="10"/>
  <c r="N133" i="10"/>
  <c r="N132" i="10"/>
  <c r="N131" i="10"/>
  <c r="N130" i="10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J115" i="10"/>
  <c r="J114" i="10"/>
  <c r="J113" i="10"/>
  <c r="J112" i="10"/>
  <c r="J111" i="10"/>
  <c r="L110" i="10"/>
  <c r="J110" i="10"/>
  <c r="L109" i="10"/>
  <c r="J109" i="10"/>
  <c r="L108" i="10"/>
  <c r="J108" i="10"/>
  <c r="L107" i="10"/>
  <c r="J107" i="10"/>
  <c r="L106" i="10"/>
  <c r="J106" i="10"/>
  <c r="L105" i="10"/>
  <c r="J105" i="10"/>
  <c r="L104" i="10"/>
  <c r="J104" i="10"/>
  <c r="L103" i="10"/>
  <c r="J103" i="10"/>
  <c r="F103" i="10"/>
  <c r="B103" i="10"/>
  <c r="J102" i="10"/>
  <c r="F102" i="10"/>
  <c r="B102" i="10"/>
  <c r="J101" i="10"/>
  <c r="F101" i="10"/>
  <c r="D101" i="10"/>
  <c r="B101" i="10"/>
  <c r="J100" i="10"/>
  <c r="F100" i="10"/>
  <c r="D100" i="10"/>
  <c r="B100" i="10"/>
  <c r="J99" i="10"/>
  <c r="F99" i="10"/>
  <c r="D99" i="10"/>
  <c r="B99" i="10"/>
  <c r="L98" i="10"/>
  <c r="J98" i="10"/>
  <c r="F98" i="10"/>
  <c r="D98" i="10"/>
  <c r="B98" i="10"/>
  <c r="L97" i="10"/>
  <c r="J97" i="10"/>
  <c r="F97" i="10"/>
  <c r="D97" i="10"/>
  <c r="B97" i="10"/>
  <c r="L96" i="10"/>
  <c r="J96" i="10"/>
  <c r="F96" i="10"/>
  <c r="B96" i="10"/>
  <c r="L95" i="10"/>
  <c r="J95" i="10"/>
  <c r="F95" i="10"/>
  <c r="B95" i="10"/>
  <c r="L94" i="10"/>
  <c r="J94" i="10"/>
  <c r="F94" i="10"/>
  <c r="D94" i="10"/>
  <c r="B94" i="10"/>
  <c r="L93" i="10"/>
  <c r="J93" i="10"/>
  <c r="F93" i="10"/>
  <c r="D93" i="10"/>
  <c r="B93" i="10"/>
  <c r="L92" i="10"/>
  <c r="J92" i="10"/>
  <c r="F92" i="10"/>
  <c r="D92" i="10"/>
  <c r="B92" i="10"/>
  <c r="L91" i="10"/>
  <c r="J91" i="10"/>
  <c r="F91" i="10"/>
  <c r="D91" i="10"/>
  <c r="B91" i="10"/>
  <c r="L90" i="10"/>
  <c r="J90" i="10"/>
  <c r="F90" i="10"/>
  <c r="D90" i="10"/>
  <c r="B90" i="10"/>
  <c r="L89" i="10"/>
  <c r="J89" i="10"/>
  <c r="F89" i="10"/>
  <c r="D89" i="10"/>
  <c r="B89" i="10"/>
  <c r="L88" i="10"/>
  <c r="J88" i="10"/>
  <c r="F88" i="10"/>
  <c r="D88" i="10"/>
  <c r="B88" i="10"/>
  <c r="L87" i="10"/>
  <c r="J87" i="10"/>
  <c r="F87" i="10"/>
  <c r="D87" i="10"/>
  <c r="B87" i="10"/>
  <c r="L86" i="10"/>
  <c r="J86" i="10"/>
  <c r="F86" i="10"/>
  <c r="D86" i="10"/>
  <c r="B86" i="10"/>
  <c r="L85" i="10"/>
  <c r="J85" i="10"/>
  <c r="F85" i="10"/>
  <c r="D85" i="10"/>
  <c r="B85" i="10"/>
  <c r="L84" i="10"/>
  <c r="J84" i="10"/>
  <c r="F84" i="10"/>
  <c r="D84" i="10"/>
  <c r="B84" i="10"/>
  <c r="L83" i="10"/>
  <c r="J83" i="10"/>
  <c r="D83" i="10"/>
  <c r="B83" i="10"/>
  <c r="L82" i="10"/>
  <c r="D82" i="10"/>
  <c r="B82" i="10"/>
  <c r="L81" i="10"/>
  <c r="D81" i="10"/>
  <c r="B81" i="10"/>
  <c r="L80" i="10"/>
  <c r="D80" i="10"/>
  <c r="B80" i="10"/>
  <c r="L79" i="10"/>
  <c r="D79" i="10"/>
  <c r="B79" i="10"/>
  <c r="L78" i="10"/>
  <c r="D78" i="10"/>
  <c r="B78" i="10"/>
  <c r="L77" i="10"/>
  <c r="D77" i="10"/>
  <c r="B77" i="10"/>
  <c r="L76" i="10"/>
  <c r="D76" i="10"/>
  <c r="B76" i="10"/>
  <c r="L75" i="10"/>
  <c r="D75" i="10"/>
  <c r="B75" i="10"/>
  <c r="L74" i="10"/>
  <c r="D74" i="10"/>
  <c r="B74" i="10"/>
  <c r="L73" i="10"/>
  <c r="D73" i="10"/>
  <c r="L72" i="10"/>
  <c r="D72" i="10"/>
  <c r="L71" i="10"/>
  <c r="D71" i="10"/>
  <c r="L15" i="9"/>
  <c r="L19" i="9" s="1"/>
  <c r="G15" i="9"/>
  <c r="G19" i="9" s="1"/>
  <c r="B19" i="9" s="1"/>
  <c r="G27" i="2" s="1"/>
  <c r="B15" i="9"/>
  <c r="L14" i="9"/>
  <c r="L18" i="9" s="1"/>
  <c r="G14" i="9"/>
  <c r="G18" i="9" s="1"/>
  <c r="B18" i="9" s="1"/>
  <c r="G26" i="2" s="1"/>
  <c r="B14" i="9"/>
  <c r="L10" i="9"/>
  <c r="G10" i="9"/>
  <c r="L9" i="9"/>
  <c r="G9" i="9"/>
  <c r="B9" i="9"/>
  <c r="L8" i="9"/>
  <c r="G8" i="9"/>
  <c r="L7" i="9"/>
  <c r="G7" i="9"/>
  <c r="L6" i="9"/>
  <c r="L17" i="9" s="1"/>
  <c r="G6" i="9"/>
  <c r="G17" i="9" s="1"/>
  <c r="B17" i="9" s="1"/>
  <c r="G25" i="2" s="1"/>
  <c r="L5" i="9"/>
  <c r="L16" i="9" s="1"/>
  <c r="G5" i="9"/>
  <c r="G16" i="9" s="1"/>
  <c r="B16" i="9" s="1"/>
  <c r="G24" i="2" s="1"/>
  <c r="L4" i="9"/>
  <c r="G4" i="9"/>
  <c r="A3" i="9"/>
  <c r="B11" i="6"/>
  <c r="D17" i="6" s="1"/>
  <c r="G13" i="2"/>
  <c r="G52" i="2"/>
  <c r="B52" i="2"/>
  <c r="G51" i="2"/>
  <c r="B51" i="2"/>
  <c r="B50" i="2"/>
  <c r="G44" i="2"/>
  <c r="G43" i="2" s="1"/>
  <c r="G42" i="2"/>
  <c r="G41" i="2"/>
  <c r="D41" i="2"/>
  <c r="C41" i="2"/>
  <c r="B40" i="2"/>
  <c r="C37" i="2"/>
  <c r="B37" i="2"/>
  <c r="C36" i="2"/>
  <c r="B36" i="2"/>
  <c r="C35" i="2"/>
  <c r="B35" i="2"/>
  <c r="C34" i="2"/>
  <c r="B34" i="2"/>
  <c r="C31" i="2"/>
  <c r="B31" i="2"/>
  <c r="C29" i="2"/>
  <c r="B29" i="2"/>
  <c r="C28" i="2"/>
  <c r="B28" i="2"/>
  <c r="C27" i="2"/>
  <c r="B27" i="2"/>
  <c r="C26" i="2"/>
  <c r="B26" i="2"/>
  <c r="C24" i="2"/>
  <c r="B24" i="2"/>
  <c r="C23" i="2"/>
  <c r="B23" i="2"/>
  <c r="AN1" i="2"/>
  <c r="AI1" i="2"/>
  <c r="AD1" i="2"/>
  <c r="Y1" i="2"/>
  <c r="T1" i="2"/>
  <c r="O1" i="2"/>
  <c r="D18" i="6" l="1"/>
  <c r="E44" i="5"/>
  <c r="G14" i="2" s="1"/>
  <c r="G23" i="11"/>
  <c r="L22" i="11"/>
  <c r="L26" i="11" s="1"/>
  <c r="L24" i="11"/>
  <c r="L29" i="11" s="1"/>
  <c r="G22" i="11"/>
  <c r="B22" i="11" s="1"/>
  <c r="E17" i="20"/>
  <c r="G17" i="2" s="1"/>
  <c r="D23" i="6"/>
  <c r="G15" i="2" s="1"/>
  <c r="G50" i="2"/>
  <c r="G46" i="2" s="1"/>
  <c r="G40" i="2"/>
  <c r="G39" i="2" s="1"/>
  <c r="G28" i="11"/>
  <c r="B28" i="11" s="1"/>
  <c r="G34" i="2" s="1"/>
  <c r="B23" i="11"/>
  <c r="G28" i="2"/>
  <c r="G23" i="2" s="1"/>
  <c r="G36" i="2"/>
  <c r="B24" i="11"/>
  <c r="G11" i="2" l="1"/>
  <c r="G26" i="11"/>
  <c r="B26" i="11" s="1"/>
  <c r="G32" i="2" s="1"/>
  <c r="G30" i="2" s="1"/>
  <c r="G22" i="2" s="1"/>
  <c r="E23" i="6"/>
  <c r="F8" i="2" l="1"/>
  <c r="B18" i="1" s="1"/>
  <c r="G8" i="2"/>
</calcChain>
</file>

<file path=xl/comments1.xml><?xml version="1.0" encoding="utf-8"?>
<comments xmlns="http://schemas.openxmlformats.org/spreadsheetml/2006/main">
  <authors>
    <author>Michael Braun</author>
  </authors>
  <commentList>
    <comment ref="A6" authorId="0" shapeId="0">
      <text>
        <r>
          <rPr>
            <b/>
            <sz val="9"/>
            <rFont val="Tahoma"/>
          </rPr>
          <t>Michael Braun:</t>
        </r>
        <r>
          <rPr>
            <sz val="9"/>
            <rFont val="Tahoma"/>
          </rPr>
          <t xml:space="preserve">
PHPP V 9 - Blatt Kühlung - Zelle Q88</t>
        </r>
      </text>
    </comment>
  </commentList>
</comments>
</file>

<file path=xl/comments2.xml><?xml version="1.0" encoding="utf-8"?>
<comments xmlns="http://schemas.openxmlformats.org/spreadsheetml/2006/main">
  <authors>
    <author>Praktikant WP</author>
  </authors>
  <commentList>
    <comment ref="A79" authorId="0" shapeId="0">
      <text>
        <r>
          <rPr>
            <b/>
            <sz val="9"/>
            <rFont val="Tahoma"/>
          </rPr>
          <t>Praktikant WP:</t>
        </r>
        <r>
          <rPr>
            <sz val="9"/>
            <rFont val="Tahoma"/>
          </rPr>
          <t xml:space="preserve">
Praktikant WP:
Für A/V=0,2
</t>
        </r>
      </text>
    </comment>
    <comment ref="M89" authorId="0" shapeId="0">
      <text>
        <r>
          <rPr>
            <b/>
            <sz val="9"/>
            <rFont val="Tahoma"/>
          </rPr>
          <t>Praktikant WP:</t>
        </r>
        <r>
          <rPr>
            <sz val="9"/>
            <rFont val="Tahoma"/>
          </rPr>
          <t xml:space="preserve">
Praktikant WP:
Für A/V=0,2</t>
        </r>
      </text>
    </comment>
    <comment ref="A127" authorId="0" shapeId="0">
      <text>
        <r>
          <rPr>
            <b/>
            <sz val="9"/>
            <rFont val="Tahoma"/>
          </rPr>
          <t>Praktikant WP:</t>
        </r>
        <r>
          <rPr>
            <sz val="9"/>
            <rFont val="Tahoma"/>
          </rPr>
          <t xml:space="preserve">
Praktikant WP:
Für A/V=0,5
</t>
        </r>
      </text>
    </comment>
    <comment ref="M146" authorId="0" shapeId="0">
      <text>
        <r>
          <rPr>
            <b/>
            <sz val="9"/>
            <rFont val="Tahoma"/>
          </rPr>
          <t>Praktikant WP:</t>
        </r>
        <r>
          <rPr>
            <sz val="9"/>
            <rFont val="Tahoma"/>
          </rPr>
          <t xml:space="preserve">
Praktikant WP:
Für A/V=0,5</t>
        </r>
      </text>
    </comment>
  </commentList>
</comments>
</file>

<file path=xl/sharedStrings.xml><?xml version="1.0" encoding="utf-8"?>
<sst xmlns="http://schemas.openxmlformats.org/spreadsheetml/2006/main" count="756" uniqueCount="463">
  <si>
    <t xml:space="preserve">Projektdaten </t>
  </si>
  <si>
    <t>Genaue Bezeichnung des Bauvorhabens</t>
  </si>
  <si>
    <t>Objekttyp / Funktion des Gebäudes</t>
  </si>
  <si>
    <t>Standortgemeinde</t>
  </si>
  <si>
    <t>Architekt</t>
  </si>
  <si>
    <t>Datum der Baueingabe</t>
  </si>
  <si>
    <t>Zeitpunkt der Fertigstellung</t>
  </si>
  <si>
    <t>Datum</t>
  </si>
  <si>
    <t>Projekt</t>
  </si>
  <si>
    <t>Stand 1</t>
  </si>
  <si>
    <t>Stand 2</t>
  </si>
  <si>
    <t>Stand 3</t>
  </si>
  <si>
    <t>Stand 4</t>
  </si>
  <si>
    <t>Stand 5</t>
  </si>
  <si>
    <t>Stand 6</t>
  </si>
  <si>
    <r>
      <rPr>
        <b/>
        <sz val="11"/>
        <color indexed="2"/>
        <rFont val="Arial"/>
      </rPr>
      <t>Bitte wählen Sie</t>
    </r>
    <r>
      <rPr>
        <b/>
        <sz val="11"/>
        <rFont val="Arial"/>
      </rPr>
      <t xml:space="preserve">
Bei dem Gebäude handelt es sich um einen/eine:</t>
    </r>
  </si>
  <si>
    <t>Neubau</t>
  </si>
  <si>
    <t>Gesamt</t>
  </si>
  <si>
    <t>Stand:</t>
  </si>
  <si>
    <t>Nr.</t>
  </si>
  <si>
    <t>Titel</t>
  </si>
  <si>
    <t>max. Punktzahl</t>
  </si>
  <si>
    <t>erreichte Punkte</t>
  </si>
  <si>
    <t>Punkte</t>
  </si>
  <si>
    <t>Anmerkungen:</t>
  </si>
  <si>
    <t>A</t>
  </si>
  <si>
    <t>Prozess- und Planungsqualität</t>
  </si>
  <si>
    <t>Eingabefelder</t>
  </si>
  <si>
    <t>vereinfachte Berechnung Wirtschaftlichkeit</t>
  </si>
  <si>
    <t>Produktmanagement - Einsatz regionaler, schadstoffarmer und emissionsarmer Bauprodukte und Konstruktionen</t>
  </si>
  <si>
    <t>1.</t>
  </si>
  <si>
    <t>Durchführung eines Architekturwettbewerbes und Festlegung eines energetischen und ökologischen Standards in Architektenvereinbarungen</t>
  </si>
  <si>
    <t>B</t>
  </si>
  <si>
    <t>Energie und Versorgung</t>
  </si>
  <si>
    <t>Nachweis nach PHPP</t>
  </si>
  <si>
    <t>Generalsanierung</t>
  </si>
  <si>
    <t>Energiekennwert Heizwärme PHPP</t>
  </si>
  <si>
    <t>Energiekennwert Kühlbedarf PHPP</t>
  </si>
  <si>
    <t>Primärenergiekennwert PHPP</t>
  </si>
  <si>
    <r>
      <t>Emissionen CO</t>
    </r>
    <r>
      <rPr>
        <b/>
        <vertAlign val="subscript"/>
        <sz val="10"/>
        <rFont val="Arial"/>
      </rPr>
      <t>2</t>
    </r>
    <r>
      <rPr>
        <b/>
        <sz val="10"/>
        <rFont val="Arial"/>
      </rPr>
      <t>-Äquivalente nach PHPP</t>
    </r>
  </si>
  <si>
    <t>Nutzung erneuerbarer Energiequellen</t>
  </si>
  <si>
    <r>
      <t xml:space="preserve">differenzierte Verbrauchserfassung und Nutzerschulung </t>
    </r>
    <r>
      <rPr>
        <b/>
        <i/>
        <sz val="8"/>
        <color indexed="2"/>
        <rFont val="Arial"/>
      </rPr>
      <t>(MUSSKRITERIUM)</t>
    </r>
  </si>
  <si>
    <t>b</t>
  </si>
  <si>
    <t>alternativ: Nachweis gem. OIB RL 6</t>
  </si>
  <si>
    <t>1.1b</t>
  </si>
  <si>
    <t>1.2b</t>
  </si>
  <si>
    <t>2b</t>
  </si>
  <si>
    <t>3b</t>
  </si>
  <si>
    <t>4b</t>
  </si>
  <si>
    <t>5b</t>
  </si>
  <si>
    <t>6b</t>
  </si>
  <si>
    <t>C</t>
  </si>
  <si>
    <t>Gesundheit und Komfort</t>
  </si>
  <si>
    <t xml:space="preserve">Thermischer Komfort </t>
  </si>
  <si>
    <t>Thermischer Komfort im Sommer</t>
  </si>
  <si>
    <t>Maßnahmen zur Sicherstellung komfortabler Raumfeuchte</t>
  </si>
  <si>
    <t>Raumluftqualität</t>
  </si>
  <si>
    <t xml:space="preserve">Messung Raumluftqualität </t>
  </si>
  <si>
    <t>D</t>
  </si>
  <si>
    <t xml:space="preserve">Baustoffe und Konstruktion </t>
  </si>
  <si>
    <t>Vermeidung kritischer Stoffe</t>
  </si>
  <si>
    <t>1</t>
  </si>
  <si>
    <t>Vermeidung von PVC</t>
  </si>
  <si>
    <t>Ökologie der Baustoffe und Konstruktionen</t>
  </si>
  <si>
    <r>
      <t>OI</t>
    </r>
    <r>
      <rPr>
        <b/>
        <vertAlign val="subscript"/>
        <sz val="10"/>
        <color indexed="64"/>
        <rFont val="Arial"/>
      </rPr>
      <t xml:space="preserve">BG3, BZF    </t>
    </r>
    <r>
      <rPr>
        <b/>
        <sz val="10"/>
        <color indexed="64"/>
        <rFont val="Arial"/>
      </rPr>
      <t>ökologischer Index der  Gesamtmasse des Gebäudes</t>
    </r>
  </si>
  <si>
    <t>Beschreibung</t>
  </si>
  <si>
    <t>Klimafolgenanpassung</t>
  </si>
  <si>
    <t>Summe</t>
  </si>
  <si>
    <t>Kriterium</t>
  </si>
  <si>
    <t>Punkte (gesamt max. 110)</t>
  </si>
  <si>
    <t>Auswertung</t>
  </si>
  <si>
    <t>1. Ökologische Bauteiloptimierung in der Planung</t>
  </si>
  <si>
    <r>
      <t>2. Wurde die Standardkriterienauswahl der "ÖkoBauKriterien" in alle relevanten Ausschreibungen und v.a. in die Aufträge übernommen?</t>
    </r>
    <r>
      <rPr>
        <sz val="10"/>
        <rFont val="Arial"/>
      </rPr>
      <t xml:space="preserve"> (www.baubook.at/oea)</t>
    </r>
  </si>
  <si>
    <t>100 % aller Ausschreibungen mit allen Kriterien ökologisch ausgeschrieben</t>
  </si>
  <si>
    <t>mind. 90 % aller Ausschreibungen mit allen Kriterien ökologisch ausgeschrieben</t>
  </si>
  <si>
    <t>mind. 70 % aller Ausschreibungen mit allen Kriterien ökologisch ausgeschrieben</t>
  </si>
  <si>
    <t>3. Produktdeklaration</t>
  </si>
  <si>
    <r>
      <t>Es sind alle relevanten, eingesetzten Produkte</t>
    </r>
    <r>
      <rPr>
        <sz val="10"/>
        <rFont val="Arial"/>
      </rPr>
      <t xml:space="preserve"> in allen relevanten Gewerken zu deklarieren. Die PD-Listen sind in Abstimmund mit der ökologischen Fachbauaufsicht nachzuführen. Alle Produkte aller relevanten Gewerke werden hinsichtlich der Erfüllung der Standardkriterienauswahl der "ÖkoBauKriterien" geprüft.</t>
    </r>
  </si>
  <si>
    <t>mind. 85 % aller relevanten Produkte wurden deklariert und erfüllen die Standardkriterienauswahl</t>
  </si>
  <si>
    <t>mind. 70 % aller relevanten Produkte wurden deklariert und erfüllen die Standardkriterienauswahl</t>
  </si>
  <si>
    <t>mind. 55 % aller relevanten Produkte wurden deklariert und erfüllen die Standardkriterienauswahl</t>
  </si>
  <si>
    <r>
      <t>Wurden</t>
    </r>
    <r>
      <rPr>
        <b/>
        <sz val="10"/>
        <rFont val="Arial"/>
      </rPr>
      <t xml:space="preserve"> regelmäßige Kontrollen</t>
    </r>
    <r>
      <rPr>
        <sz val="10"/>
        <rFont val="Arial"/>
      </rPr>
      <t xml:space="preserve"> zum Materialeinsatz durchgeführt und wurden diese dokumentiert?</t>
    </r>
  </si>
  <si>
    <r>
      <rPr>
        <b/>
        <sz val="10"/>
        <rFont val="Arial"/>
      </rPr>
      <t>stichprobenartig</t>
    </r>
    <r>
      <rPr>
        <sz val="10"/>
        <rFont val="Arial"/>
      </rPr>
      <t xml:space="preserve"> (nicht alle Gewerke erfasst, Protokolle mit Angabe zum Status der Produkte)</t>
    </r>
  </si>
  <si>
    <t>5. Förderung regionaler Holzwirtschaft durch die Kommune</t>
  </si>
  <si>
    <t>Fenster</t>
  </si>
  <si>
    <t>Was</t>
  </si>
  <si>
    <t>Maßnahme</t>
  </si>
  <si>
    <t>Zielerreichung</t>
  </si>
  <si>
    <t>Fachberatung</t>
  </si>
  <si>
    <t>Fachberatung für eine naturnahe Außengestaltung</t>
  </si>
  <si>
    <t>Beratungsprotokoll</t>
  </si>
  <si>
    <t>Nachweis: Beratungsprotokoll</t>
  </si>
  <si>
    <t>Max. 4</t>
  </si>
  <si>
    <t>Dachbegrünung</t>
  </si>
  <si>
    <t xml:space="preserve">&gt; 75 % Anteil an allen begrünbaren Dächern </t>
  </si>
  <si>
    <t>Strukturen und Elemente am Gründach</t>
  </si>
  <si>
    <t>Max. 20</t>
  </si>
  <si>
    <t>Fassadenbegrünung</t>
  </si>
  <si>
    <t>Fassade begrünt (&gt; 10 % der jeweiligen Fassade)</t>
  </si>
  <si>
    <t>mehr als eine Gebäudefassade begrünt</t>
  </si>
  <si>
    <t>bis zu einer Gebäudefassade begrünt</t>
  </si>
  <si>
    <t>Nachweis: Klettergerüst oder Bestätigung Tauglichkeit der Fassade und Pflanzplan</t>
  </si>
  <si>
    <t>Max. 3</t>
  </si>
  <si>
    <t>Naturnahe Außenflächen</t>
  </si>
  <si>
    <t xml:space="preserve">Erhalt und / oder Schaffung landschaftsprägender und naturnaher Elemente </t>
  </si>
  <si>
    <t>Max. 8</t>
  </si>
  <si>
    <t>Oberirdische Retention &amp; Reduktion Versiegelung</t>
  </si>
  <si>
    <t xml:space="preserve">Erhalt und / oder Schaffung von unversiegelten, versickerungsfähigen Außenflächen (inkl. Parkplätze) </t>
  </si>
  <si>
    <t>40 - 75 % Anteil des Außenraumes sind unversiegelt</t>
  </si>
  <si>
    <t xml:space="preserve">Sickerbecken, Mulden oder Gerinne zur temporären Wasserrückhaltung </t>
  </si>
  <si>
    <t>10 % der befestigten, versiegelten und dichten Fläche, von der der Regenabfluss in das Entwässerungssystem gelangt</t>
  </si>
  <si>
    <t>Nachweis: Planvorlage</t>
  </si>
  <si>
    <t>Max. 10</t>
  </si>
  <si>
    <t>Angaben zum Objekt</t>
  </si>
  <si>
    <t>Objektbezeichnung</t>
  </si>
  <si>
    <t>Hinweise:</t>
  </si>
  <si>
    <t>Objekttyp</t>
  </si>
  <si>
    <t xml:space="preserve">Detaillierte Angaben zur erforderlichen Qualität </t>
  </si>
  <si>
    <t>Sehr gute Anbindung an Stadtbusnetz</t>
  </si>
  <si>
    <t>mit "x" markieren</t>
  </si>
  <si>
    <t>Angaben zum geplanten Radständersystem (Angaben in %)</t>
  </si>
  <si>
    <t>Anteil Tiefparker</t>
  </si>
  <si>
    <t>Anteil Hoch/Tiefparker</t>
  </si>
  <si>
    <t>Hoch/Tiefparker = Höhenversetzte Aufstellung der Vorderräder</t>
  </si>
  <si>
    <t>Vorgesehene Stellfläche</t>
  </si>
  <si>
    <t xml:space="preserve"> m²</t>
  </si>
  <si>
    <t>Realisierte Stellplätze</t>
  </si>
  <si>
    <r>
      <t>Mindest- und Optimalausstattung</t>
    </r>
    <r>
      <rPr>
        <sz val="10"/>
        <color indexed="64"/>
        <rFont val="Arial"/>
      </rPr>
      <t xml:space="preserve"> (in Abhängkeit von Objektyp, Gemeindekategorie und Ständersystem)</t>
    </r>
  </si>
  <si>
    <r>
      <t xml:space="preserve">Stellplätze
</t>
    </r>
    <r>
      <rPr>
        <sz val="10"/>
        <color indexed="64"/>
        <rFont val="Arial"/>
      </rPr>
      <t>(aufgerundete Zahlen)</t>
    </r>
  </si>
  <si>
    <r>
      <t>Stellfläche</t>
    </r>
    <r>
      <rPr>
        <sz val="10"/>
        <color indexed="64"/>
        <rFont val="Arial"/>
      </rPr>
      <t xml:space="preserve"> 
(ohne Rangierfläche)</t>
    </r>
  </si>
  <si>
    <t>Mindestausstattung</t>
  </si>
  <si>
    <t xml:space="preserve"> Wichtig: Stellfläche muss zu 50% überdacht sein!</t>
  </si>
  <si>
    <t>Optimalausstattung</t>
  </si>
  <si>
    <t>Punkteermittlung</t>
  </si>
  <si>
    <t>Punkte bei Erreichung der Mindestausstattung</t>
  </si>
  <si>
    <t>Punkte bei Erreichung der Maximalausstattung</t>
  </si>
  <si>
    <t>Erreichte Punkte Fahrradabstellplätze</t>
  </si>
  <si>
    <t>Verwaltungsgebäude</t>
  </si>
  <si>
    <t>B 1 Energie und Versorgung (Nachweis nach PHPP)</t>
  </si>
  <si>
    <t>Rechenfelder Neubau</t>
  </si>
  <si>
    <t>Rechenfelder Sanierung</t>
  </si>
  <si>
    <t>Eingabefeld PHPP Neubau</t>
  </si>
  <si>
    <t>Eingabefeld PHPP Sanierung</t>
  </si>
  <si>
    <t>Energiebezugsfläche PHPP</t>
  </si>
  <si>
    <t>m²</t>
  </si>
  <si>
    <t>Spezifischer Heizwärmbedarf HWB</t>
  </si>
  <si>
    <t>kWh/m²a</t>
  </si>
  <si>
    <r>
      <t>Nutzkältebedarf Q</t>
    </r>
    <r>
      <rPr>
        <vertAlign val="subscript"/>
        <sz val="10"/>
        <color theme="1"/>
        <rFont val="Arial"/>
      </rPr>
      <t xml:space="preserve">K </t>
    </r>
  </si>
  <si>
    <t>Kühlbedarf KB</t>
  </si>
  <si>
    <t>inklusiv aller internen Lasten auch Betriebsstrom</t>
  </si>
  <si>
    <t>Primärenergiebedarf</t>
  </si>
  <si>
    <r>
      <t>CO</t>
    </r>
    <r>
      <rPr>
        <vertAlign val="subscript"/>
        <sz val="10"/>
        <color theme="1"/>
        <rFont val="Arial"/>
      </rPr>
      <t>2</t>
    </r>
  </si>
  <si>
    <r>
      <t>kg</t>
    </r>
    <r>
      <rPr>
        <vertAlign val="subscript"/>
        <sz val="10"/>
        <color theme="1"/>
        <rFont val="Arial"/>
      </rPr>
      <t>CO2</t>
    </r>
    <r>
      <rPr>
        <sz val="10"/>
        <color theme="1"/>
        <rFont val="Arial"/>
      </rPr>
      <t>/m²a</t>
    </r>
  </si>
  <si>
    <t>CO2</t>
  </si>
  <si>
    <t>kgCO2/m²a</t>
  </si>
  <si>
    <t xml:space="preserve">PV Ertrag mit Eigenbedarfsdeckung </t>
  </si>
  <si>
    <t>kWh/a</t>
  </si>
  <si>
    <t>Eigennutzung PV</t>
  </si>
  <si>
    <t>Bitte mit "x" markieren</t>
  </si>
  <si>
    <t>Ergebnisse</t>
  </si>
  <si>
    <t>Ergebnisse Neubau</t>
  </si>
  <si>
    <t>Ergebnisse Sanierung</t>
  </si>
  <si>
    <t>kWh/(m²a)</t>
  </si>
  <si>
    <r>
      <t>kg</t>
    </r>
    <r>
      <rPr>
        <vertAlign val="subscript"/>
        <sz val="10"/>
        <color theme="1"/>
        <rFont val="Arial"/>
      </rPr>
      <t>CO2</t>
    </r>
    <r>
      <rPr>
        <sz val="10"/>
        <color theme="1"/>
        <rFont val="Arial"/>
      </rPr>
      <t>/(m²a)</t>
    </r>
  </si>
  <si>
    <t>kgCO2/(m²a)</t>
  </si>
  <si>
    <t>HWB-Punkte</t>
  </si>
  <si>
    <t>KB-Punkte</t>
  </si>
  <si>
    <t>PEB-Punkte</t>
  </si>
  <si>
    <r>
      <t>CO</t>
    </r>
    <r>
      <rPr>
        <b/>
        <vertAlign val="subscript"/>
        <sz val="10"/>
        <color theme="1"/>
        <rFont val="Arial"/>
      </rPr>
      <t>2</t>
    </r>
  </si>
  <si>
    <t>Sanierung</t>
  </si>
  <si>
    <t>HWB</t>
  </si>
  <si>
    <t>PEB</t>
  </si>
  <si>
    <r>
      <t>CO</t>
    </r>
    <r>
      <rPr>
        <vertAlign val="subscript"/>
        <sz val="11"/>
        <color theme="1"/>
        <rFont val="Arial"/>
      </rPr>
      <t>2</t>
    </r>
    <r>
      <rPr>
        <sz val="11"/>
        <color theme="1"/>
        <rFont val="Arial"/>
      </rPr>
      <t xml:space="preserve"> </t>
    </r>
  </si>
  <si>
    <r>
      <t>CO</t>
    </r>
    <r>
      <rPr>
        <vertAlign val="subscript"/>
        <sz val="11"/>
        <color theme="1"/>
        <rFont val="Arial"/>
      </rPr>
      <t>2</t>
    </r>
  </si>
  <si>
    <t>KB</t>
  </si>
  <si>
    <t>Eingabefeld OIB RL-6 Neubau</t>
  </si>
  <si>
    <t>Eingabefeld OIB RL-6 Sanierung</t>
  </si>
  <si>
    <t>A/V-Verhältnis</t>
  </si>
  <si>
    <t>1/m</t>
  </si>
  <si>
    <t>Brutto-Volumen</t>
  </si>
  <si>
    <t>m³</t>
  </si>
  <si>
    <r>
      <t>Heizwärmbedarf HWB</t>
    </r>
    <r>
      <rPr>
        <vertAlign val="subscript"/>
        <sz val="10"/>
        <color theme="1"/>
        <rFont val="Arial"/>
      </rPr>
      <t>SK</t>
    </r>
  </si>
  <si>
    <r>
      <t>LEK</t>
    </r>
    <r>
      <rPr>
        <vertAlign val="subscript"/>
        <sz val="10"/>
        <color theme="1"/>
        <rFont val="Arial"/>
      </rPr>
      <t>T</t>
    </r>
    <r>
      <rPr>
        <sz val="10"/>
        <color theme="1"/>
        <rFont val="Arial"/>
      </rPr>
      <t>-Wert</t>
    </r>
  </si>
  <si>
    <t>Gebäudehüllfläche</t>
  </si>
  <si>
    <t>Summe Bauteilflächen zum Bestand</t>
  </si>
  <si>
    <r>
      <t>Transmissions-Leitwert L</t>
    </r>
    <r>
      <rPr>
        <vertAlign val="subscript"/>
        <sz val="10"/>
        <color theme="1"/>
        <rFont val="Arial"/>
      </rPr>
      <t xml:space="preserve">T </t>
    </r>
    <r>
      <rPr>
        <sz val="10"/>
        <color theme="1"/>
        <rFont val="Arial"/>
      </rPr>
      <t>inkl. Wärmebrückenzuschlag</t>
    </r>
  </si>
  <si>
    <t>W/K</t>
  </si>
  <si>
    <r>
      <t>Kühlbedarf KB</t>
    </r>
    <r>
      <rPr>
        <vertAlign val="subscript"/>
        <sz val="10"/>
        <color theme="1"/>
        <rFont val="Arial"/>
      </rPr>
      <t>SK</t>
    </r>
  </si>
  <si>
    <r>
      <t>Primärenergiebedarf gesamt PEB</t>
    </r>
    <r>
      <rPr>
        <vertAlign val="subscript"/>
        <sz val="10"/>
        <color theme="1"/>
        <rFont val="Arial"/>
      </rPr>
      <t>SK</t>
    </r>
  </si>
  <si>
    <t>Betriebsstrombedarf BSB</t>
  </si>
  <si>
    <t>Beleuchtungsenergiebedarf BelEB</t>
  </si>
  <si>
    <t>Endenergiebedarf Beleuchtung (eigene Ermittlung)</t>
  </si>
  <si>
    <r>
      <t>CO2</t>
    </r>
    <r>
      <rPr>
        <vertAlign val="subscript"/>
        <sz val="10"/>
        <color theme="1"/>
        <rFont val="Arial"/>
      </rPr>
      <t>SK</t>
    </r>
    <r>
      <rPr>
        <sz val="10"/>
        <color theme="1"/>
        <rFont val="Arial"/>
      </rPr>
      <t xml:space="preserve"> gesamt (EAW)</t>
    </r>
  </si>
  <si>
    <r>
      <t>Photovoltaik Export PV</t>
    </r>
    <r>
      <rPr>
        <vertAlign val="subscript"/>
        <sz val="10"/>
        <color theme="1"/>
        <rFont val="Arial"/>
      </rPr>
      <t>Export;SK</t>
    </r>
  </si>
  <si>
    <r>
      <t>korrigierter LEK</t>
    </r>
    <r>
      <rPr>
        <vertAlign val="subscript"/>
        <sz val="10"/>
        <color theme="1"/>
        <rFont val="Arial"/>
      </rPr>
      <t>T</t>
    </r>
    <r>
      <rPr>
        <sz val="10"/>
        <color theme="1"/>
        <rFont val="Arial"/>
      </rPr>
      <t>-Wert</t>
    </r>
  </si>
  <si>
    <r>
      <t>HWB</t>
    </r>
    <r>
      <rPr>
        <b/>
        <vertAlign val="subscript"/>
        <sz val="10"/>
        <rFont val="Arial"/>
      </rPr>
      <t>SK</t>
    </r>
    <r>
      <rPr>
        <b/>
        <sz val="10"/>
        <rFont val="Arial"/>
      </rPr>
      <t>-Punkte</t>
    </r>
  </si>
  <si>
    <r>
      <t>LEK</t>
    </r>
    <r>
      <rPr>
        <b/>
        <vertAlign val="subscript"/>
        <sz val="10"/>
        <color theme="1"/>
        <rFont val="Arial"/>
      </rPr>
      <t>T</t>
    </r>
    <r>
      <rPr>
        <b/>
        <sz val="10"/>
        <color theme="1"/>
        <rFont val="Arial"/>
      </rPr>
      <t>-Punkte</t>
    </r>
  </si>
  <si>
    <r>
      <t>KB</t>
    </r>
    <r>
      <rPr>
        <b/>
        <vertAlign val="subscript"/>
        <sz val="10"/>
        <rFont val="Arial"/>
      </rPr>
      <t>SK</t>
    </r>
    <r>
      <rPr>
        <b/>
        <sz val="10"/>
        <rFont val="Arial"/>
      </rPr>
      <t>-Punkte</t>
    </r>
  </si>
  <si>
    <r>
      <t>PEB</t>
    </r>
    <r>
      <rPr>
        <b/>
        <vertAlign val="subscript"/>
        <sz val="10"/>
        <color theme="1"/>
        <rFont val="Arial"/>
      </rPr>
      <t>SK</t>
    </r>
    <r>
      <rPr>
        <b/>
        <sz val="10"/>
        <color theme="1"/>
        <rFont val="Arial"/>
      </rPr>
      <t>-Punkte</t>
    </r>
  </si>
  <si>
    <r>
      <t>CO2</t>
    </r>
    <r>
      <rPr>
        <b/>
        <vertAlign val="subscript"/>
        <sz val="10"/>
        <color theme="1"/>
        <rFont val="Arial"/>
      </rPr>
      <t>SK</t>
    </r>
    <r>
      <rPr>
        <b/>
        <sz val="10"/>
        <color theme="1"/>
        <rFont val="Arial"/>
      </rPr>
      <t>-Punkte</t>
    </r>
  </si>
  <si>
    <t>ALT</t>
  </si>
  <si>
    <t>NEU</t>
  </si>
  <si>
    <r>
      <t>HWB</t>
    </r>
    <r>
      <rPr>
        <b/>
        <vertAlign val="subscript"/>
        <sz val="11"/>
        <color theme="1"/>
        <rFont val="Arial"/>
      </rPr>
      <t>SK</t>
    </r>
  </si>
  <si>
    <t>Punkte für A/V=0,2</t>
  </si>
  <si>
    <r>
      <t>CO</t>
    </r>
    <r>
      <rPr>
        <vertAlign val="subscript"/>
        <sz val="11"/>
        <rFont val="Arial"/>
      </rPr>
      <t>2</t>
    </r>
    <r>
      <rPr>
        <sz val="11"/>
        <rFont val="Arial"/>
      </rPr>
      <t xml:space="preserve"> </t>
    </r>
  </si>
  <si>
    <t>ALT PEB</t>
  </si>
  <si>
    <t>NEU PEB</t>
  </si>
  <si>
    <t>ALT CO2</t>
  </si>
  <si>
    <t>NEU CO2</t>
  </si>
  <si>
    <t>Punkte für A/V=0,5</t>
  </si>
  <si>
    <t>entspricht Klasse "C"</t>
  </si>
  <si>
    <t>B 1.5 Nutzung erneuerbarer Energiequellen</t>
  </si>
  <si>
    <t>Eingabe</t>
  </si>
  <si>
    <t>Bruttogrundfläche (analog OIB RL 6)</t>
  </si>
  <si>
    <t>ermittelter Jahresertrag,
Nachweis durch Berechnung mit für die Auslegung der jeweiligen Energiequelle geeignetem Programm</t>
  </si>
  <si>
    <t>Angabe der Energiequelle, Berechnungsausdruck der Anlagenauslegung wird beigelegt</t>
  </si>
  <si>
    <t>Mindestjahresertrag</t>
  </si>
  <si>
    <t>Solljahresertrag</t>
  </si>
  <si>
    <t xml:space="preserve">Punkte Jahresertragsnachweis </t>
  </si>
  <si>
    <t>Gesamtpunkte Erneuerbare Energiequellen</t>
  </si>
  <si>
    <t>C 1.1 Thermischer Komfort im Sommer</t>
  </si>
  <si>
    <t>Punkte (gesamt max. 75)</t>
  </si>
  <si>
    <t xml:space="preserve">Auswertung </t>
  </si>
  <si>
    <t>Zusatzpunkte bei Ausführung eines kontrollierten Free-Coolings (adiabate Abluftbefeuchtung, Grundwasserkühlung ohne Kompressionskälte, Solekühlung ohne Kompressionskälte)</t>
  </si>
  <si>
    <t>Dynamische Gebäudesimulation (zumindest für kritische Räume) unter Berücksichtigung des Standortklimas, flexibler Verschattungssysteme sowie der zu erwartenden Nutzungen - Überschreitung 26 °C &lt; 3 %; bei aktiver Kühlung 26 °C &lt; 1 %</t>
  </si>
  <si>
    <t>max. 75</t>
  </si>
  <si>
    <t>C 1.2 Maßnahmen zur Sicherstellung komfortabler Raumfeuchte</t>
  </si>
  <si>
    <t>Punkte (gesamt max. 10)</t>
  </si>
  <si>
    <t>Feuchteabhängiges Absenken der Volumenströme ohne aktive Befeuchtung im Winter</t>
  </si>
  <si>
    <t>Feuchterückgewinnung ohne aktive Befeuchtung im Winter</t>
  </si>
  <si>
    <t xml:space="preserve">C 2.1 Messung Raumluftqualität </t>
  </si>
  <si>
    <t>VOC</t>
  </si>
  <si>
    <t>Kl I</t>
  </si>
  <si>
    <t>&lt; 300 µg/m³</t>
  </si>
  <si>
    <t>50 Punkte</t>
  </si>
  <si>
    <t>Kl II</t>
  </si>
  <si>
    <t>300 - 500 µg/m³</t>
  </si>
  <si>
    <t>35 Punkte</t>
  </si>
  <si>
    <t>Kl III</t>
  </si>
  <si>
    <t>500 - 1.000 µg/m³</t>
  </si>
  <si>
    <t>20 Punkte</t>
  </si>
  <si>
    <t>Kl IV</t>
  </si>
  <si>
    <t xml:space="preserve"> 1.000 – 3000 µg/m³</t>
  </si>
  <si>
    <t>0 Punkte, 
Quellensuche empfohlen</t>
  </si>
  <si>
    <t>&gt; 3.000 µg/m³</t>
  </si>
  <si>
    <t>Quellensuche erforderlich</t>
  </si>
  <si>
    <t>Formaldehyd</t>
  </si>
  <si>
    <t>&lt; 0,04 ppm</t>
  </si>
  <si>
    <t>0,04 - 0,08 ppm</t>
  </si>
  <si>
    <t>10 Punkte</t>
  </si>
  <si>
    <t>0,08 - 0,1 ppm</t>
  </si>
  <si>
    <t>5 Punkte</t>
  </si>
  <si>
    <t>&gt; 0,1 ppm</t>
  </si>
  <si>
    <t>Punkte (gesamt max. 30)</t>
  </si>
  <si>
    <t>Folien, Fußbodenbeläge und Wandbeläge</t>
  </si>
  <si>
    <t xml:space="preserve">        </t>
  </si>
  <si>
    <t>Elektroinstallationsmaterialien</t>
  </si>
  <si>
    <t xml:space="preserve">Elektroinstallationsmaterialien (Kabel, Leitungen, Rohre, Dosen etc.) </t>
  </si>
  <si>
    <t xml:space="preserve">Fenster, Sonnen- und / oder Sichtschutz am Objekt </t>
  </si>
  <si>
    <t>Fenster und Türen / Tore</t>
  </si>
  <si>
    <t>Sonnen- und / oder Sichtschutz am Objekt</t>
  </si>
  <si>
    <r>
      <t>D 2.1 Ökologischer Kennwert des Gebäudes (OI3</t>
    </r>
    <r>
      <rPr>
        <b/>
        <sz val="9"/>
        <rFont val="Arial"/>
      </rPr>
      <t>BG3, BZF</t>
    </r>
    <r>
      <rPr>
        <b/>
        <sz val="12"/>
        <rFont val="Arial"/>
      </rPr>
      <t xml:space="preserve">) </t>
    </r>
  </si>
  <si>
    <r>
      <rPr>
        <b/>
        <sz val="10"/>
        <rFont val="Arial"/>
      </rPr>
      <t>OI</t>
    </r>
    <r>
      <rPr>
        <b/>
        <vertAlign val="subscript"/>
        <sz val="10"/>
        <rFont val="Arial"/>
      </rPr>
      <t>BG3,BZF</t>
    </r>
    <r>
      <rPr>
        <sz val="10"/>
        <rFont val="Arial"/>
      </rPr>
      <t xml:space="preserve"> (Berechnung mit Eco2soft, Bilanzgrenze BG3)</t>
    </r>
  </si>
  <si>
    <t xml:space="preserve">D 2.2 Entsorgungsindikator (EI) </t>
  </si>
  <si>
    <r>
      <rPr>
        <b/>
        <sz val="10"/>
        <rFont val="Arial"/>
      </rPr>
      <t xml:space="preserve">Entsorgungsindikator EI </t>
    </r>
    <r>
      <rPr>
        <sz val="10"/>
        <rFont val="Arial"/>
      </rPr>
      <t>(Berechnung mit Eco2soft, Bilanzgrenze BG3)</t>
    </r>
  </si>
  <si>
    <t>LNB - Aussteller</t>
  </si>
  <si>
    <t>Genaue Firmenbezeichnung des LNB-Ausstellers</t>
  </si>
  <si>
    <t>Name des LNB-Ausstellers</t>
  </si>
  <si>
    <t xml:space="preserve">LNB - Erstelldatum </t>
  </si>
  <si>
    <t>LNB-Bewertungspunkte</t>
  </si>
  <si>
    <t>Firmen-Stempel und Unterschrift</t>
  </si>
  <si>
    <t>Reinigungs- und Instandhaltungsfreundlichkeit</t>
  </si>
  <si>
    <t>Fahrradabstellplätze</t>
  </si>
  <si>
    <t>Naturnahes Bauen - Biodiversität</t>
  </si>
  <si>
    <t>E-Mobilität</t>
  </si>
  <si>
    <r>
      <t>Heizwärmebedarf HWB</t>
    </r>
    <r>
      <rPr>
        <b/>
        <strike/>
        <vertAlign val="subscript"/>
        <sz val="10"/>
        <color theme="0" tint="-0.249977111117893"/>
        <rFont val="Arial"/>
        <family val="2"/>
      </rPr>
      <t>SK</t>
    </r>
  </si>
  <si>
    <r>
      <t>LEK</t>
    </r>
    <r>
      <rPr>
        <b/>
        <strike/>
        <vertAlign val="subscript"/>
        <sz val="10"/>
        <color theme="0" tint="-0.249977111117893"/>
        <rFont val="Arial"/>
        <family val="2"/>
      </rPr>
      <t>T</t>
    </r>
    <r>
      <rPr>
        <b/>
        <strike/>
        <sz val="10"/>
        <color theme="0" tint="-0.249977111117893"/>
        <rFont val="Arial"/>
        <family val="2"/>
      </rPr>
      <t xml:space="preserve"> Wert</t>
    </r>
  </si>
  <si>
    <r>
      <t>Kühlbedarf KB</t>
    </r>
    <r>
      <rPr>
        <b/>
        <strike/>
        <vertAlign val="subscript"/>
        <sz val="10"/>
        <color theme="0" tint="-0.249977111117893"/>
        <rFont val="Arial"/>
        <family val="2"/>
      </rPr>
      <t>SK</t>
    </r>
  </si>
  <si>
    <r>
      <t>Primärenergiebedarf PEB</t>
    </r>
    <r>
      <rPr>
        <b/>
        <strike/>
        <vertAlign val="subscript"/>
        <sz val="10"/>
        <color theme="0" tint="-0.249977111117893"/>
        <rFont val="Arial"/>
        <family val="2"/>
      </rPr>
      <t>SK</t>
    </r>
  </si>
  <si>
    <r>
      <t>Emissionen CO</t>
    </r>
    <r>
      <rPr>
        <b/>
        <strike/>
        <vertAlign val="subscript"/>
        <sz val="10"/>
        <color theme="0" tint="-0.249977111117893"/>
        <rFont val="Arial"/>
        <family val="2"/>
      </rPr>
      <t>2</t>
    </r>
    <r>
      <rPr>
        <b/>
        <strike/>
        <sz val="10"/>
        <color theme="0" tint="-0.249977111117893"/>
        <rFont val="Arial"/>
        <family val="2"/>
      </rPr>
      <t xml:space="preserve">-Äquivalente </t>
    </r>
  </si>
  <si>
    <r>
      <t xml:space="preserve">differenzierte Verbrauchserfassung und Nutzerschulung </t>
    </r>
    <r>
      <rPr>
        <b/>
        <i/>
        <strike/>
        <sz val="8"/>
        <color theme="0" tint="-0.249977111117893"/>
        <rFont val="Arial"/>
        <family val="2"/>
      </rPr>
      <t>(MUSSKRITERIUM)</t>
    </r>
  </si>
  <si>
    <t>Kindergärten</t>
  </si>
  <si>
    <t>Allgemeinbildende Schulen</t>
  </si>
  <si>
    <t>Berufsschulen</t>
  </si>
  <si>
    <t>Altenwohnheime / Pflegeheime</t>
  </si>
  <si>
    <t>Veranstaltungsgebäude</t>
  </si>
  <si>
    <t>Bezugsgröße</t>
  </si>
  <si>
    <t>Nutzfläche in m²</t>
  </si>
  <si>
    <t>Anzahl Gruppenräume</t>
  </si>
  <si>
    <t>Anzahl Schüler</t>
  </si>
  <si>
    <t>Anzahl Plätze</t>
  </si>
  <si>
    <t>Anzahl Besucherplätze</t>
  </si>
  <si>
    <t>min</t>
  </si>
  <si>
    <t>max</t>
  </si>
  <si>
    <t>Verwaltungsgebäude:</t>
  </si>
  <si>
    <t>Anforderung LBO: 1 Stellplatz / 100 m² Nutzfläche</t>
  </si>
  <si>
    <t>Mindestanforderung: 1 Stellplatz / 95 m² Nutzfläche</t>
  </si>
  <si>
    <t>Optimale Ausstattung: 1 Stellplatz / 80 m² Nutzfläche</t>
  </si>
  <si>
    <t>Kindergärten:</t>
  </si>
  <si>
    <t>Anforderung LBO: 5 Stellplätze / Gruppenraum</t>
  </si>
  <si>
    <t>Mindestanforderung: 5,25 Stellplätze / Gruppenraum</t>
  </si>
  <si>
    <t>Optimale Ausstattung: 6 Stellplätze / Gruppenraum</t>
  </si>
  <si>
    <t>Allgemeinbildende Schulen:</t>
  </si>
  <si>
    <t>Anforderung LBO: 1 Stellplatz / 3 Schüler</t>
  </si>
  <si>
    <t>Mindestanforderung: 1 Stellplatz / 2,85 Schüler</t>
  </si>
  <si>
    <t>Optimale Ausstattung: 1 Stellplatz / 2,4 Schüler</t>
  </si>
  <si>
    <t xml:space="preserve">Berufsschulen: </t>
  </si>
  <si>
    <t>Anforderung LBO: 1 Stellplatz / 5 Schüler</t>
  </si>
  <si>
    <t>Mindestanforderung: 1 Stellplatz / 4,75 Schüler</t>
  </si>
  <si>
    <t>Optimale Ausstattung: 1 Stellplatz / 4 Schüler</t>
  </si>
  <si>
    <t>Altenwohnheime/Pflegeheime</t>
  </si>
  <si>
    <t>Anforderung LBO: 1 Stellplatz / 10 Plätze</t>
  </si>
  <si>
    <t>Mindestanforderung: 1 Stellplatz / 9,5 Plätze</t>
  </si>
  <si>
    <t>Optimale Ausstattung: 1 Stellplatz / 8 Plätze</t>
  </si>
  <si>
    <t>Veranstaltungsgebäude:</t>
  </si>
  <si>
    <t>Anforderung LBO: 1 Stellplatz / 10 Besucherplätze</t>
  </si>
  <si>
    <t>Mindestanforderung: 1 Stellplatz / 9,5 Besucherplätze</t>
  </si>
  <si>
    <t>Optimale Ausstattung: 1 Stellplatz / 8 Besucherplätze</t>
  </si>
  <si>
    <t>bis 3,00 m über dem Fussboden Reinigung erfolgt mit Trittleiter oder Reinigungsstange</t>
  </si>
  <si>
    <t>mehr als 3,00 m über dem Fussboden Reinigung erfolgt mit Stehleiter, Hubwagen oder Klettergurt</t>
  </si>
  <si>
    <r>
      <t>Nachweis</t>
    </r>
    <r>
      <rPr>
        <sz val="10"/>
        <color theme="1"/>
        <rFont val="Arial"/>
        <family val="2"/>
      </rPr>
      <t>: Beschreibung Art und Weise</t>
    </r>
  </si>
  <si>
    <t>Schmutzfangzonen</t>
  </si>
  <si>
    <t>Bodenbündig eingebaute Gitterroste, Kunststoff- oder Naturfasermatten vor und hinter den Eingangszonen</t>
  </si>
  <si>
    <t>Vorhanden an allen Eingangszonen (Haupt- wie Nebeneingänge)</t>
  </si>
  <si>
    <r>
      <t>Nachweis</t>
    </r>
    <r>
      <rPr>
        <sz val="10"/>
        <color theme="1"/>
        <rFont val="Arial"/>
        <family val="2"/>
      </rPr>
      <t>: Planvorlage, Art und Weise</t>
    </r>
  </si>
  <si>
    <t xml:space="preserve">max. 3 </t>
  </si>
  <si>
    <t>Sockelleisten/ wischfester Anstrich im Sockelbereich</t>
  </si>
  <si>
    <t>Schutz des Sockelbereichs von Wänden vor Verschmutzung und Beschädigung durch die Fußbodenreinigung</t>
  </si>
  <si>
    <t>Vorhanden</t>
  </si>
  <si>
    <r>
      <t>Nachweis</t>
    </r>
    <r>
      <rPr>
        <sz val="10"/>
        <color theme="1"/>
        <rFont val="Arial"/>
        <family val="2"/>
      </rPr>
      <t>: ja/ nein; Beschreibung Art und Weise</t>
    </r>
  </si>
  <si>
    <t xml:space="preserve">max. 2 </t>
  </si>
  <si>
    <r>
      <t>Zugänglichkeit</t>
    </r>
    <r>
      <rPr>
        <sz val="8"/>
        <color theme="1"/>
        <rFont val="Arial"/>
        <family val="2"/>
      </rPr>
      <t> </t>
    </r>
  </si>
  <si>
    <t>Inspektions- und wartungsrelevante Technische Anlagen</t>
  </si>
  <si>
    <t>Revisionierbarkeit</t>
  </si>
  <si>
    <t xml:space="preserve"> Vorhanden</t>
  </si>
  <si>
    <t>Beschriftung</t>
  </si>
  <si>
    <r>
      <t>Nachweis</t>
    </r>
    <r>
      <rPr>
        <sz val="10"/>
        <color theme="1"/>
        <rFont val="Arial"/>
        <family val="2"/>
      </rPr>
      <t>: ja/ nein; Beschreibung Art und Weise; Abstimmungsprotokoll</t>
    </r>
  </si>
  <si>
    <t xml:space="preserve">max. 4 </t>
  </si>
  <si>
    <r>
      <t>Zugänglichkeit und Reinigbarkeit von innen- und Außenflächen</t>
    </r>
    <r>
      <rPr>
        <sz val="8"/>
        <rFont val="Arial"/>
        <family val="2"/>
      </rPr>
      <t> </t>
    </r>
  </si>
  <si>
    <r>
      <t>Inspektions- und wartungsrelevante Bauteile der Primärkonstruktion</t>
    </r>
    <r>
      <rPr>
        <sz val="8"/>
        <rFont val="Arial"/>
        <family val="2"/>
      </rPr>
      <t> </t>
    </r>
  </si>
  <si>
    <t>Punkte (gesamt max. 20)</t>
  </si>
  <si>
    <t>bis 2,50 m über dem Fussboden (feste Standfläche) bzw. Vorhandensein einer Fassadenbefahranlage</t>
  </si>
  <si>
    <r>
      <t>B 1b Heizwärmebedarf HWB</t>
    </r>
    <r>
      <rPr>
        <b/>
        <vertAlign val="subscript"/>
        <sz val="12"/>
        <color theme="0" tint="-0.249977111117893"/>
        <rFont val="Arial"/>
        <family val="2"/>
      </rPr>
      <t>SK</t>
    </r>
    <r>
      <rPr>
        <b/>
        <sz val="12"/>
        <color theme="0" tint="-0.249977111117893"/>
        <rFont val="Arial"/>
        <family val="2"/>
      </rPr>
      <t>, Primärenergiebedarf und Emissionen CO</t>
    </r>
    <r>
      <rPr>
        <b/>
        <sz val="11"/>
        <color theme="0" tint="-0.249977111117893"/>
        <rFont val="Arial"/>
        <family val="2"/>
      </rPr>
      <t>2</t>
    </r>
    <r>
      <rPr>
        <b/>
        <sz val="12"/>
        <color theme="0" tint="-0.249977111117893"/>
        <rFont val="Arial"/>
        <family val="2"/>
      </rPr>
      <t>-Äquivalente nach OIB RL 6</t>
    </r>
  </si>
  <si>
    <r>
      <t>Heizwärmbedarf HWB</t>
    </r>
    <r>
      <rPr>
        <vertAlign val="subscript"/>
        <sz val="10"/>
        <color theme="0" tint="-0.249977111117893"/>
        <rFont val="Arial"/>
        <family val="2"/>
      </rPr>
      <t>SK</t>
    </r>
  </si>
  <si>
    <r>
      <t>LEK</t>
    </r>
    <r>
      <rPr>
        <vertAlign val="subscript"/>
        <sz val="10"/>
        <color theme="0" tint="-0.249977111117893"/>
        <rFont val="Arial"/>
        <family val="2"/>
      </rPr>
      <t>T</t>
    </r>
    <r>
      <rPr>
        <sz val="10"/>
        <color theme="0" tint="-0.249977111117893"/>
        <rFont val="Arial"/>
        <family val="2"/>
      </rPr>
      <t>-Wert</t>
    </r>
  </si>
  <si>
    <r>
      <t>Transmissions-Leitwert L</t>
    </r>
    <r>
      <rPr>
        <vertAlign val="subscript"/>
        <sz val="10"/>
        <color theme="0" tint="-0.249977111117893"/>
        <rFont val="Arial"/>
        <family val="2"/>
      </rPr>
      <t xml:space="preserve">T </t>
    </r>
    <r>
      <rPr>
        <sz val="10"/>
        <color theme="0" tint="-0.249977111117893"/>
        <rFont val="Arial"/>
        <family val="2"/>
      </rPr>
      <t>inkl. Wärmebrückenzuschlag</t>
    </r>
  </si>
  <si>
    <r>
      <t>Kühlbedarf KB</t>
    </r>
    <r>
      <rPr>
        <vertAlign val="subscript"/>
        <sz val="10"/>
        <color theme="0" tint="-0.249977111117893"/>
        <rFont val="Arial"/>
        <family val="2"/>
      </rPr>
      <t>SK</t>
    </r>
  </si>
  <si>
    <r>
      <t>Primärenergiebedarf gesamt PEB</t>
    </r>
    <r>
      <rPr>
        <vertAlign val="subscript"/>
        <sz val="10"/>
        <color theme="0" tint="-0.249977111117893"/>
        <rFont val="Arial"/>
        <family val="2"/>
      </rPr>
      <t>SK</t>
    </r>
  </si>
  <si>
    <r>
      <t>CO2</t>
    </r>
    <r>
      <rPr>
        <vertAlign val="subscript"/>
        <sz val="10"/>
        <color theme="0" tint="-0.249977111117893"/>
        <rFont val="Arial"/>
        <family val="2"/>
      </rPr>
      <t>SK</t>
    </r>
    <r>
      <rPr>
        <sz val="10"/>
        <color theme="0" tint="-0.249977111117893"/>
        <rFont val="Arial"/>
        <family val="2"/>
      </rPr>
      <t xml:space="preserve"> gesamt (EAW)</t>
    </r>
  </si>
  <si>
    <r>
      <t>Photovoltaik Export PV</t>
    </r>
    <r>
      <rPr>
        <vertAlign val="subscript"/>
        <sz val="10"/>
        <color theme="0" tint="-0.249977111117893"/>
        <rFont val="Arial"/>
        <family val="2"/>
      </rPr>
      <t>Export;SK</t>
    </r>
  </si>
  <si>
    <r>
      <t>korrigierter LEK</t>
    </r>
    <r>
      <rPr>
        <vertAlign val="subscript"/>
        <sz val="10"/>
        <color theme="0" tint="-0.249977111117893"/>
        <rFont val="Arial"/>
        <family val="2"/>
      </rPr>
      <t>T</t>
    </r>
    <r>
      <rPr>
        <sz val="10"/>
        <color theme="0" tint="-0.249977111117893"/>
        <rFont val="Arial"/>
        <family val="2"/>
      </rPr>
      <t>-Wert</t>
    </r>
  </si>
  <si>
    <r>
      <t>CO</t>
    </r>
    <r>
      <rPr>
        <vertAlign val="subscript"/>
        <sz val="10"/>
        <color theme="0" tint="-0.249977111117893"/>
        <rFont val="Arial"/>
        <family val="2"/>
      </rPr>
      <t>2</t>
    </r>
  </si>
  <si>
    <r>
      <t>kg</t>
    </r>
    <r>
      <rPr>
        <vertAlign val="subscript"/>
        <sz val="10"/>
        <color theme="0" tint="-0.249977111117893"/>
        <rFont val="Arial"/>
        <family val="2"/>
      </rPr>
      <t>CO2</t>
    </r>
    <r>
      <rPr>
        <sz val="10"/>
        <color theme="0" tint="-0.249977111117893"/>
        <rFont val="Arial"/>
        <family val="2"/>
      </rPr>
      <t>/(m²a)</t>
    </r>
  </si>
  <si>
    <r>
      <t>HWB</t>
    </r>
    <r>
      <rPr>
        <b/>
        <vertAlign val="subscript"/>
        <sz val="10"/>
        <color theme="0" tint="-0.249977111117893"/>
        <rFont val="Arial"/>
        <family val="2"/>
      </rPr>
      <t>SK</t>
    </r>
    <r>
      <rPr>
        <b/>
        <sz val="10"/>
        <color theme="0" tint="-0.249977111117893"/>
        <rFont val="Arial"/>
        <family val="2"/>
      </rPr>
      <t>-Punkte</t>
    </r>
  </si>
  <si>
    <r>
      <t>LEK</t>
    </r>
    <r>
      <rPr>
        <b/>
        <vertAlign val="subscript"/>
        <sz val="10"/>
        <color theme="0" tint="-0.249977111117893"/>
        <rFont val="Arial"/>
        <family val="2"/>
      </rPr>
      <t>T</t>
    </r>
    <r>
      <rPr>
        <b/>
        <sz val="10"/>
        <color theme="0" tint="-0.249977111117893"/>
        <rFont val="Arial"/>
        <family val="2"/>
      </rPr>
      <t>-Punkte</t>
    </r>
  </si>
  <si>
    <r>
      <t>KB</t>
    </r>
    <r>
      <rPr>
        <b/>
        <vertAlign val="subscript"/>
        <sz val="10"/>
        <color theme="0" tint="-0.249977111117893"/>
        <rFont val="Arial"/>
        <family val="2"/>
      </rPr>
      <t>SK</t>
    </r>
    <r>
      <rPr>
        <b/>
        <sz val="10"/>
        <color theme="0" tint="-0.249977111117893"/>
        <rFont val="Arial"/>
        <family val="2"/>
      </rPr>
      <t>-Punkte</t>
    </r>
  </si>
  <si>
    <r>
      <t>PEB</t>
    </r>
    <r>
      <rPr>
        <b/>
        <vertAlign val="subscript"/>
        <sz val="10"/>
        <color theme="0" tint="-0.249977111117893"/>
        <rFont val="Arial"/>
        <family val="2"/>
      </rPr>
      <t>SK</t>
    </r>
    <r>
      <rPr>
        <b/>
        <sz val="10"/>
        <color theme="0" tint="-0.249977111117893"/>
        <rFont val="Arial"/>
        <family val="2"/>
      </rPr>
      <t>-Punkte</t>
    </r>
  </si>
  <si>
    <r>
      <t>CO2</t>
    </r>
    <r>
      <rPr>
        <b/>
        <vertAlign val="subscript"/>
        <sz val="10"/>
        <color theme="0" tint="-0.249977111117893"/>
        <rFont val="Arial"/>
        <family val="2"/>
      </rPr>
      <t>SK</t>
    </r>
    <r>
      <rPr>
        <b/>
        <sz val="10"/>
        <color theme="0" tint="-0.249977111117893"/>
        <rFont val="Arial"/>
        <family val="2"/>
      </rPr>
      <t>-Punkte</t>
    </r>
  </si>
  <si>
    <r>
      <t>max. 9</t>
    </r>
    <r>
      <rPr>
        <sz val="8"/>
        <color theme="1"/>
        <rFont val="Arial"/>
        <family val="2"/>
      </rPr>
      <t> </t>
    </r>
    <r>
      <rPr>
        <sz val="10"/>
        <color theme="1"/>
        <rFont val="Arial"/>
        <family val="2"/>
      </rPr>
      <t xml:space="preserve"> </t>
    </r>
  </si>
  <si>
    <r>
      <t xml:space="preserve">Nachweis PHPP Überschreitung 26 °C &lt; 3 % </t>
    </r>
    <r>
      <rPr>
        <i/>
        <sz val="10"/>
        <rFont val="Arial"/>
        <family val="2"/>
      </rPr>
      <t>oder</t>
    </r>
  </si>
  <si>
    <r>
      <t xml:space="preserve">Nachweis PHPP Überschreitung 26 °C &lt; 1 % </t>
    </r>
    <r>
      <rPr>
        <i/>
        <sz val="10"/>
        <rFont val="Arial"/>
        <family val="2"/>
      </rPr>
      <t>oder</t>
    </r>
  </si>
  <si>
    <t>Nachweis DIN 4108-2, Einhaltung (für alle kritischen Räume)</t>
  </si>
  <si>
    <t>Nebenrechnung Veranstaltungsgebäude</t>
  </si>
  <si>
    <t>Maximal zulässige Belegung</t>
  </si>
  <si>
    <t>Anzahl Veranstaltungen pro Jahr</t>
  </si>
  <si>
    <t>Name</t>
  </si>
  <si>
    <t>Anzahl Personen</t>
  </si>
  <si>
    <t>Anzahl pro Jahr</t>
  </si>
  <si>
    <t>Belegungsszenario 1</t>
  </si>
  <si>
    <t>Belegungsszenario 2</t>
  </si>
  <si>
    <t>Belegungsszenario 3</t>
  </si>
  <si>
    <t>Belegungsszenario 4</t>
  </si>
  <si>
    <t>Belegungsszenario 5</t>
  </si>
  <si>
    <t>gewichtete Belegungsdichte</t>
  </si>
  <si>
    <t>A 1.2 Produktmanagement - Einsatz regionaler, schadstoffarmer und emissionsarmer Bauprodukte und Konstruktionen</t>
  </si>
  <si>
    <t>A 1.3 Naturnahes Bauen Biodiversität</t>
  </si>
  <si>
    <t>Punkte (gesamt Max. 40)</t>
  </si>
  <si>
    <t>x</t>
  </si>
  <si>
    <t>Haustechnik-Konzept</t>
  </si>
  <si>
    <t>A1.6 Reinigungs- und Instandhaltungsfreundlichkeit</t>
  </si>
  <si>
    <t>Kriterum</t>
  </si>
  <si>
    <t>1. Reduktion von Überschwemmungen</t>
  </si>
  <si>
    <t xml:space="preserve">Außenanlagenplan (M1:500) der Fließwege des Niederschlagswassers bei Starkregen- oder Starkschneeereignissen auf dem Grundstück  </t>
  </si>
  <si>
    <t>2. Reduktion von Überhitzung</t>
  </si>
  <si>
    <t>Innenräume vor Überhitzung schützen</t>
  </si>
  <si>
    <t>Vermeidung von Überhitzung durch Absorption der Fassade und umliegender Flächen</t>
  </si>
  <si>
    <t>Punkte 
(gesamt max. 30)</t>
  </si>
  <si>
    <t>Kommentierung Haustechnik</t>
  </si>
  <si>
    <r>
      <t xml:space="preserve">Kommentierung Haustechnik-Schemata und Raumbücher (Heizung &amp; Lüftung) mit energetisch relevanten Auslegungsdaten </t>
    </r>
    <r>
      <rPr>
        <i/>
        <u/>
        <sz val="10"/>
        <color indexed="8"/>
        <rFont val="Arial"/>
        <family val="2"/>
      </rPr>
      <t>vor Baueingabe</t>
    </r>
    <r>
      <rPr>
        <sz val="10"/>
        <color indexed="8"/>
        <rFont val="Arial"/>
        <family val="2"/>
      </rPr>
      <t xml:space="preserve"> durch externe, fachkundige Personen </t>
    </r>
    <r>
      <rPr>
        <vertAlign val="superscript"/>
        <sz val="10"/>
        <color indexed="8"/>
        <rFont val="Arial"/>
        <family val="2"/>
      </rPr>
      <t>1)</t>
    </r>
  </si>
  <si>
    <t>Konzept für Betrieb &amp; Wartung</t>
  </si>
  <si>
    <t xml:space="preserve">Konzept für den Betrieb und Wartung der technischen Anlagen mit Regel- und Messkonzept (Lastenheft) inkl. Einschulung der relevanten Personen (Bestätigung)  </t>
  </si>
  <si>
    <t>Einregulierung</t>
  </si>
  <si>
    <t>Vorlage eines unterfertigten Einregulierungsprotokolls für Heizung und Lüftung (Mindestangabe: Volumenströme je Ventil und Strang inkl. Dokumentation der Einstellwerte)</t>
  </si>
  <si>
    <r>
      <t xml:space="preserve">1) als externe, fachkundige Personen zählen in diesem Zusammenhang Fachpersonen (Ingenieure der Gebäudetechnik, Versorgungstechnik, Heizungs- und Lüftungstechnik, Energieingenieurwesen (Schwerpunkt Gebäude), Technischen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HTL-Absolventen mit Schwerpunkt Technische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Meister der Heizungs- und Lüftungstechnik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Mitarbeiter in HSL-Planungsbüros mit mind. 5 Jahren Berufserfahrung</t>
    </r>
  </si>
  <si>
    <t>A1.8 Haustechnik-Konzept</t>
  </si>
  <si>
    <t>A1.7 Klimafolgenanpassung</t>
  </si>
  <si>
    <t>D 1.1 Vermeidung von PVC und biozider Ausrüstung</t>
  </si>
  <si>
    <r>
      <rPr>
        <sz val="10"/>
        <rFont val="Arial"/>
        <family val="2"/>
      </rPr>
      <t>Kunststofffolien und Vliese jeglicher Art (Dampfbremsen, Abdichtungsbahnen, Trennschichten, Baufolien etc.)</t>
    </r>
    <r>
      <rPr>
        <sz val="10"/>
        <color indexed="8"/>
        <rFont val="Arial"/>
        <family val="2"/>
      </rPr>
      <t xml:space="preserve"> und Dichtstoffe </t>
    </r>
  </si>
  <si>
    <t xml:space="preserve">Fußbodenbeläge und deren Bestandteile (inkl. Sockelleisten), Wandbeläge (Tapeten) </t>
  </si>
  <si>
    <r>
      <rPr>
        <sz val="10"/>
        <rFont val="Arial"/>
        <family val="2"/>
      </rPr>
      <t>Wasser-, Abwasser- sowie Zu- und Abluftrohre im Gebäude</t>
    </r>
    <r>
      <rPr>
        <sz val="10"/>
        <color indexed="8"/>
        <rFont val="Arial"/>
        <family val="2"/>
      </rPr>
      <t xml:space="preserve"> </t>
    </r>
  </si>
  <si>
    <t>Vermeidung von Bioziden</t>
  </si>
  <si>
    <r>
      <rPr>
        <b/>
        <sz val="10"/>
        <color indexed="8"/>
        <rFont val="Arial"/>
        <family val="2"/>
      </rPr>
      <t>Fassaden aus Produkten ohne biozide Ausrüstungen</t>
    </r>
    <r>
      <rPr>
        <sz val="10"/>
        <color indexed="8"/>
        <rFont val="Arial"/>
        <family val="2"/>
      </rPr>
      <t xml:space="preserve">
Fassadenplatten, Fassadenverkleidungen, Spachtelmassen, Putze, Grundierungen, Farben u.ä.
</t>
    </r>
  </si>
  <si>
    <r>
      <rPr>
        <b/>
        <sz val="10"/>
        <color indexed="8"/>
        <rFont val="Arial"/>
        <family val="2"/>
      </rPr>
      <t>Dächer aus Produkten ohne biozide Ausrüstungen</t>
    </r>
    <r>
      <rPr>
        <sz val="10"/>
        <color indexed="8"/>
        <rFont val="Arial"/>
        <family val="2"/>
      </rPr>
      <t xml:space="preserve">
Bitumendichtungsbahnen, -pappen (z.B. Gründach) u.ä.
</t>
    </r>
  </si>
  <si>
    <t>Fenster und Außentüren ohne biozide Ausrüstungen</t>
  </si>
  <si>
    <t>Sämtliche Dicht- und Klebstoffe ohne biozide Ausrüstungen</t>
  </si>
  <si>
    <t>2</t>
  </si>
  <si>
    <t>Einsatz von Recyclingbeton</t>
  </si>
  <si>
    <t>D 1.2 Einsatz von Recyclingbeton</t>
  </si>
  <si>
    <t>Einsatz von mind. 25% des Betons als Recyclingbeton mit mind. 25% Recyclinganteil bei Zuschlagstoffen</t>
  </si>
  <si>
    <t xml:space="preserve">Verwendung von CEM III-B als Bindemittel beim Recyclingbeton </t>
  </si>
  <si>
    <t xml:space="preserve">Min. 1 Ladestation für mehrspurige Elektrofahrzeuge mit einer Ladeleistung von mind. 11 kW </t>
  </si>
  <si>
    <t>Pro 20 Fahrradabstellplätze min. eine Lademöglichkeit für E-Fahrräder</t>
  </si>
  <si>
    <t>Voraussetzung: Ladestationen müssen mit Ökostrom bzw. aus eigener PV-Anlage betrieben werden</t>
  </si>
  <si>
    <t>Vermeidung von PVC und biozider Ausrüstung</t>
  </si>
  <si>
    <t>A 1.5 E-Mobilität</t>
  </si>
  <si>
    <t>Punkte (gesamt max. 5)</t>
  </si>
  <si>
    <t xml:space="preserve">Entsorgungsindikator (EI 10) </t>
  </si>
  <si>
    <r>
      <t xml:space="preserve">Leitfaden für Nachhaltiges Bauen - 
LNB-Bewertung Neubau/Sanierung </t>
    </r>
    <r>
      <rPr>
        <b/>
        <sz val="11"/>
        <color indexed="64"/>
        <rFont val="Arial"/>
      </rPr>
      <t xml:space="preserve">- Version 2021
</t>
    </r>
    <r>
      <rPr>
        <b/>
        <sz val="12"/>
        <color indexed="64"/>
        <rFont val="Arial"/>
      </rPr>
      <t>Landkreis Ravensburg</t>
    </r>
  </si>
  <si>
    <t>Vogelsichere Gestaltung der Glasflächen</t>
  </si>
  <si>
    <t xml:space="preserve">Artenschutz </t>
  </si>
  <si>
    <t>Artenschutz am Gebäude</t>
  </si>
  <si>
    <t>Insektenfreundliche Lichtgestaltung</t>
  </si>
  <si>
    <t>Erhalt oder Schaffung von Quartieren für gebäudebrütende Wildtiere</t>
  </si>
  <si>
    <t>Max. 6</t>
  </si>
  <si>
    <t>Gründach mit 6-14 cm Substratdicke, (trockenheitsverträgliche Vegetation) in Kombination mit PV-Anlage und/ oder</t>
  </si>
  <si>
    <t>Gründach mit einer Substratdicke &gt; 14 cm, Zielvegetation Magerwiese (mit leichtem Substrat auch in Leichtbauweise möglich) und/ oder</t>
  </si>
  <si>
    <t>25-75 % Anteil an allen begrünbaren Dächern</t>
  </si>
  <si>
    <t>Gründach mit &gt; 10cm Substratdicke bei (Mit)Verwendung von lokalem Boden (min. 50%)</t>
  </si>
  <si>
    <t>Gründach mit &lt;14 cm Substratdicke, trockenheitsverträgliche Vegetation z.B. Sedum-Matten</t>
  </si>
  <si>
    <t>Statisch angepasste Modellierung der Substrathöhen (&gt;14 cm) und/oder</t>
  </si>
  <si>
    <t>Sandlinsen, Wandkies  (&gt;2 m² Grundfläche)</t>
  </si>
  <si>
    <t>Totholzbereiche (&gt;2 m² Grundfläche) und/oder</t>
  </si>
  <si>
    <t xml:space="preserve">Nachweis: </t>
  </si>
  <si>
    <t>Anteil der begrünten Dachfläche in % der gesamten begrünbaren Flachdächer bzw. begrünbaren flach geneigten Dächer, Fotonachweis für Strukturen und Elemente oder</t>
  </si>
  <si>
    <t>Ausführungsplan für Dachbegrünung, aus welchem die ausgeführte Substratdicke und Modellierung der Substratschicht ersichtlich wird oder</t>
  </si>
  <si>
    <t>Strukturen und Elemente wie Totholz, Wurzelstöcke oder Sandbereiche sind vor Ort ersichtlich oder können anhand einer Plandarstellun, eines Fotos oder einer Bestellliste nachgewiesen werden</t>
  </si>
  <si>
    <t>Von mindestens zwei heimischen/autochthonen Laub- oderObstbäumen gemäß Liste der heimischen und standortgerechten Pflanzen des Landkreises Ravensburg</t>
  </si>
  <si>
    <t>Von drei verschiedenen heimischen Sträuchern in ihrer Wildform</t>
  </si>
  <si>
    <t xml:space="preserve">Von artenreichen mehrjährigen Blumenwiesen mit heimischen Wildpflanzenarten (Zertifizierung nach RegioZert oder VWWRegiosaaten, Saatgut aus Ursprungsgebiet 17 - Südliches Alpenvorland)(10% der Außenfläche, Einzelfläche mindestens 10 m²). </t>
  </si>
  <si>
    <t>Von Trockensteinmauern (Länge&gt; 3 m) /Natursteinhaufen (&gt; 3 m²Grundfläche) oder Totholzelmente(Benjeshecke, Wurzelstöcke, Baumstämme)</t>
  </si>
  <si>
    <t>&gt; 75  % Anteil der Außenfläche sind unversiegelt</t>
  </si>
  <si>
    <t xml:space="preserve">Befestigung/der Bodenversiegelung zu ermitteln. </t>
  </si>
  <si>
    <t>Nachweis:</t>
  </si>
  <si>
    <t>Ausführungspläne und/oder Fotonachweise der geplanten oder bereits umgesetzten Maßnahmen</t>
  </si>
  <si>
    <t>Freiflächenplan und Flächenbilanz, um das Ausmaß der Befestigung/ der Bodenversieglung zu ermitteln</t>
  </si>
  <si>
    <t>Pflegeplan mit Angaben über Zielzustand und Pflegemaßnahmen (auch für die Erstellungszeit)</t>
  </si>
  <si>
    <t>Neupflanzungen Bäume: Rechnung mit Baumartenliste (Anzahl und wissenschaftlicher Name)</t>
  </si>
  <si>
    <t xml:space="preserve">Neupflanzungen Sträucher: Rechnungsbelege und Angabe der nicht züchterisch behandelten Strauchart durch Angabe des wissenschaftlichen Namens. Bitte diese Arten in einer Liste markieren lassen! </t>
  </si>
  <si>
    <t>Neuanlage/Neuansaat von artenreichen Blumenwiesen: Vorlage der Rechnung mit Angaben über zertifizierten Wildblumensamenmischung oder bei Mähgutübertragung, Heudruschverwendung oder Wiesenkopierverfahren Angabe der Spenderfläche – Herkunft der Samen aus der Region</t>
  </si>
  <si>
    <t>Fensteranteile in den Fassadenflächen im Bauantrag insgesamt nicht über 40%</t>
  </si>
  <si>
    <t xml:space="preserve">Verwendung von hellen Farben für große Oberflächen bei Fassaden, Dächer, Bodenbelägen und Wänden des Außenraums des Gebäudes
</t>
  </si>
  <si>
    <t xml:space="preserve">Darstellung der Fließwege auf dem Grundstück durch einen Außenanlagenplan im geeigneten Maßstab, z.B. M.1:500 
</t>
  </si>
  <si>
    <t>Gibt es eine Dokumentation zur ökologischen Bauteiloptimierung im Rahmen der Planungsphase</t>
  </si>
  <si>
    <r>
      <t xml:space="preserve">4. LNB-Bauaufsicht </t>
    </r>
    <r>
      <rPr>
        <sz val="10"/>
        <rFont val="Arial"/>
      </rPr>
      <t>(Punktevergabe nur möglich, wenn auch Punkte bei 2. und 3. vergeben wurden)</t>
    </r>
  </si>
  <si>
    <t>Gibt es eine LNB-Bauaufsicht?</t>
  </si>
  <si>
    <r>
      <rPr>
        <b/>
        <sz val="10"/>
        <rFont val="Arial"/>
        <family val="2"/>
      </rPr>
      <t>Regelmäßig dem Baufortschritt entsprechend</t>
    </r>
    <r>
      <rPr>
        <sz val="10"/>
        <rFont val="Arial"/>
      </rPr>
      <t xml:space="preserve"> (max. 3 Gewerke nicht erfasst, Protokolle mit Angabe zum Status der Produkte und Stellungnahme was mit Anmerkungen passiert ist) </t>
    </r>
  </si>
  <si>
    <t xml:space="preserve">Beim Einsatz von nachweislich regionalem Holz (Nachweis über „Holz-von-Hier“ Zertifikate oder nachweislich Einhaltung aller „Holz-von-Hier“ Kriterien zB gemeindeeigenes Holz) werden bei untenstehenden Verwendungen folgende Punkte vergeben: 
</t>
  </si>
  <si>
    <r>
      <rPr>
        <b/>
        <sz val="10"/>
        <rFont val="Arial"/>
        <family val="2"/>
      </rPr>
      <t>Konstruktiver Holzbau</t>
    </r>
    <r>
      <rPr>
        <sz val="10"/>
        <rFont val="Arial"/>
      </rPr>
      <t xml:space="preserve"> </t>
    </r>
    <r>
      <rPr>
        <sz val="8"/>
        <rFont val="Arial"/>
      </rPr>
      <t>(Bepunktung nur bei Holz- bzw. Mischbauten)</t>
    </r>
  </si>
  <si>
    <r>
      <rPr>
        <b/>
        <sz val="10"/>
        <rFont val="Arial"/>
        <family val="2"/>
      </rPr>
      <t>Fassade</t>
    </r>
    <r>
      <rPr>
        <sz val="10"/>
        <rFont val="Arial"/>
      </rPr>
      <t xml:space="preserve"> (bei mehr als der Hälfte der Fassadenfläche)</t>
    </r>
  </si>
  <si>
    <r>
      <rPr>
        <b/>
        <sz val="10"/>
        <rFont val="Arial"/>
        <family val="2"/>
      </rPr>
      <t>Fußbodenbelag Massivholz</t>
    </r>
    <r>
      <rPr>
        <sz val="10"/>
        <rFont val="Arial"/>
        <family val="2"/>
      </rPr>
      <t xml:space="preserve"> (z.B. Massivparkett, Dielenboden; mehr als die Hälfte der konditionierten Flächen als Vollholzkonstruktion)</t>
    </r>
  </si>
  <si>
    <t xml:space="preserve">Mit HvH Nachweis oder gleichwertig (nachweisliche Einhaltung HvH Kriterien) </t>
  </si>
  <si>
    <t xml:space="preserve">Ohne HvH Nachweis 
</t>
  </si>
  <si>
    <t>A.1.4 Fahrradabstellplätze (max. 20 Punkte)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</si>
</sst>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&quot;.&quot;"/>
    <numFmt numFmtId="165" formatCode="&quot;max. &quot;0"/>
    <numFmt numFmtId="166" formatCode="0.0"/>
    <numFmt numFmtId="167" formatCode="#,##0_ ;\-#,##0\ "/>
    <numFmt numFmtId="168" formatCode="0.0000"/>
    <numFmt numFmtId="169" formatCode="0.0000000"/>
  </numFmts>
  <fonts count="109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b/>
      <sz val="11"/>
      <color indexed="63"/>
      <name val="Calibri"/>
    </font>
    <font>
      <b/>
      <sz val="11"/>
      <color rgb="FF3F3F3F"/>
      <name val="Calibri"/>
      <scheme val="minor"/>
    </font>
    <font>
      <b/>
      <sz val="11"/>
      <color indexed="52"/>
      <name val="Calibri"/>
    </font>
    <font>
      <sz val="11"/>
      <color indexed="62"/>
      <name val="Calibri"/>
    </font>
    <font>
      <sz val="11"/>
      <color rgb="FF3F3F76"/>
      <name val="Calibri"/>
      <scheme val="minor"/>
    </font>
    <font>
      <b/>
      <sz val="11"/>
      <color indexed="64"/>
      <name val="Calibri"/>
    </font>
    <font>
      <i/>
      <sz val="11"/>
      <color indexed="23"/>
      <name val="Calibri"/>
    </font>
    <font>
      <sz val="11"/>
      <color indexed="17"/>
      <name val="Calibri"/>
    </font>
    <font>
      <sz val="10"/>
      <name val="Arial"/>
    </font>
    <font>
      <u/>
      <sz val="10"/>
      <color indexed="4"/>
      <name val="Arial"/>
    </font>
    <font>
      <sz val="11"/>
      <color indexed="20"/>
      <name val="Calibri"/>
    </font>
    <font>
      <b/>
      <sz val="18"/>
      <color indexed="56"/>
      <name val="Cambria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sz val="11"/>
      <color indexed="52"/>
      <name val="Calibri"/>
    </font>
    <font>
      <sz val="11"/>
      <color indexed="2"/>
      <name val="Calibri"/>
    </font>
    <font>
      <b/>
      <sz val="11"/>
      <color indexed="65"/>
      <name val="Calibri"/>
    </font>
    <font>
      <b/>
      <sz val="22"/>
      <color indexed="64"/>
      <name val="Arial"/>
    </font>
    <font>
      <b/>
      <sz val="16"/>
      <name val="Arial"/>
    </font>
    <font>
      <sz val="12"/>
      <name val="Arial"/>
    </font>
    <font>
      <b/>
      <sz val="12"/>
      <name val="Arial"/>
    </font>
    <font>
      <b/>
      <sz val="14"/>
      <name val="Arial"/>
    </font>
    <font>
      <b/>
      <sz val="10"/>
      <name val="Arial"/>
    </font>
    <font>
      <b/>
      <sz val="22"/>
      <name val="Arial"/>
    </font>
    <font>
      <b/>
      <sz val="18"/>
      <name val="Arial"/>
    </font>
    <font>
      <b/>
      <sz val="11"/>
      <name val="Arial"/>
    </font>
    <font>
      <sz val="10"/>
      <color indexed="2"/>
      <name val="Arial"/>
    </font>
    <font>
      <sz val="16"/>
      <name val="Arial"/>
    </font>
    <font>
      <b/>
      <i/>
      <sz val="16"/>
      <name val="Arial"/>
    </font>
    <font>
      <b/>
      <sz val="12"/>
      <name val="L Frutiger Light"/>
    </font>
    <font>
      <b/>
      <sz val="10"/>
      <color indexed="64"/>
      <name val="Arial"/>
    </font>
    <font>
      <sz val="10"/>
      <color theme="0"/>
      <name val="Arial"/>
    </font>
    <font>
      <b/>
      <sz val="16"/>
      <name val="L Frutiger Light"/>
    </font>
    <font>
      <b/>
      <sz val="12"/>
      <color indexed="64"/>
      <name val="Arial"/>
    </font>
    <font>
      <sz val="10"/>
      <color indexed="63"/>
      <name val="Arial"/>
    </font>
    <font>
      <i/>
      <sz val="10"/>
      <name val="Arial"/>
    </font>
    <font>
      <b/>
      <sz val="12"/>
      <color indexed="2"/>
      <name val="Arial"/>
    </font>
    <font>
      <sz val="10"/>
      <color indexed="64"/>
      <name val="Arial"/>
    </font>
    <font>
      <b/>
      <sz val="12"/>
      <color theme="1"/>
      <name val="Arial"/>
    </font>
    <font>
      <sz val="11"/>
      <color theme="1"/>
      <name val="Arial"/>
    </font>
    <font>
      <sz val="11"/>
      <color theme="0"/>
      <name val="Arial"/>
    </font>
    <font>
      <b/>
      <sz val="10"/>
      <color theme="1"/>
      <name val="Arial"/>
    </font>
    <font>
      <sz val="9"/>
      <color theme="1"/>
      <name val="Arial"/>
    </font>
    <font>
      <sz val="12"/>
      <color theme="1"/>
      <name val="Arial"/>
    </font>
    <font>
      <b/>
      <sz val="11"/>
      <color theme="1"/>
      <name val="Arial"/>
    </font>
    <font>
      <sz val="8"/>
      <color theme="1"/>
      <name val="Arial"/>
    </font>
    <font>
      <b/>
      <sz val="11"/>
      <color theme="1"/>
      <name val="Calibri"/>
      <scheme val="minor"/>
    </font>
    <font>
      <sz val="10"/>
      <color rgb="FF3F3F76"/>
      <name val="Arial"/>
    </font>
    <font>
      <sz val="11"/>
      <color indexed="2"/>
      <name val="Calibri"/>
      <scheme val="minor"/>
    </font>
    <font>
      <b/>
      <sz val="11"/>
      <color indexed="64"/>
      <name val="Arial"/>
    </font>
    <font>
      <b/>
      <sz val="16"/>
      <color theme="1"/>
      <name val="Arial"/>
    </font>
    <font>
      <sz val="11"/>
      <name val="Arial"/>
    </font>
    <font>
      <sz val="12"/>
      <color theme="0"/>
      <name val="Arial"/>
    </font>
    <font>
      <sz val="11"/>
      <color indexed="62"/>
      <name val="Arial"/>
    </font>
    <font>
      <b/>
      <sz val="11"/>
      <color indexed="2"/>
      <name val="Arial"/>
    </font>
    <font>
      <b/>
      <vertAlign val="subscript"/>
      <sz val="10"/>
      <name val="Arial"/>
    </font>
    <font>
      <b/>
      <i/>
      <sz val="8"/>
      <color indexed="2"/>
      <name val="Arial"/>
    </font>
    <font>
      <b/>
      <vertAlign val="subscript"/>
      <sz val="10"/>
      <color indexed="64"/>
      <name val="Arial"/>
    </font>
    <font>
      <sz val="8"/>
      <name val="Arial"/>
    </font>
    <font>
      <vertAlign val="subscript"/>
      <sz val="10"/>
      <color theme="1"/>
      <name val="Arial"/>
    </font>
    <font>
      <b/>
      <vertAlign val="subscript"/>
      <sz val="10"/>
      <color theme="1"/>
      <name val="Arial"/>
    </font>
    <font>
      <vertAlign val="subscript"/>
      <sz val="11"/>
      <color theme="1"/>
      <name val="Arial"/>
    </font>
    <font>
      <b/>
      <vertAlign val="subscript"/>
      <sz val="11"/>
      <color theme="1"/>
      <name val="Arial"/>
    </font>
    <font>
      <vertAlign val="subscript"/>
      <sz val="11"/>
      <name val="Arial"/>
    </font>
    <font>
      <b/>
      <sz val="9"/>
      <name val="Arial"/>
    </font>
    <font>
      <b/>
      <sz val="9"/>
      <name val="Tahoma"/>
    </font>
    <font>
      <sz val="9"/>
      <name val="Tahoma"/>
    </font>
    <font>
      <sz val="10"/>
      <color theme="1"/>
      <name val="Arial"/>
      <family val="2"/>
    </font>
    <font>
      <b/>
      <sz val="10"/>
      <name val="Arial"/>
      <family val="2"/>
    </font>
    <font>
      <b/>
      <strike/>
      <sz val="12"/>
      <color theme="0" tint="-0.249977111117893"/>
      <name val="Arial"/>
      <family val="2"/>
    </font>
    <font>
      <b/>
      <strike/>
      <sz val="10"/>
      <color theme="0" tint="-0.249977111117893"/>
      <name val="Arial"/>
      <family val="2"/>
    </font>
    <font>
      <b/>
      <strike/>
      <vertAlign val="subscript"/>
      <sz val="10"/>
      <color theme="0" tint="-0.249977111117893"/>
      <name val="Arial"/>
      <family val="2"/>
    </font>
    <font>
      <b/>
      <i/>
      <strike/>
      <sz val="8"/>
      <color theme="0" tint="-0.249977111117893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b/>
      <sz val="12"/>
      <color theme="0" tint="-0.249977111117893"/>
      <name val="Arial"/>
      <family val="2"/>
    </font>
    <font>
      <b/>
      <vertAlign val="subscript"/>
      <sz val="12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vertAlign val="subscript"/>
      <sz val="10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b/>
      <vertAlign val="subscript"/>
      <sz val="10"/>
      <color theme="0" tint="-0.249977111117893"/>
      <name val="Arial"/>
      <family val="2"/>
    </font>
    <font>
      <sz val="12"/>
      <color theme="0" tint="-0.249977111117893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u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i/>
      <u/>
      <sz val="10"/>
      <name val="Arial"/>
      <family val="2"/>
    </font>
    <font>
      <b/>
      <sz val="10"/>
      <color indexed="64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5"/>
        <bgColor indexed="45"/>
      </patternFill>
    </fill>
    <fill>
      <patternFill patternType="solid">
        <fgColor indexed="31"/>
        <bgColor indexed="31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rgb="FFF2F2F2"/>
        <bgColor rgb="FFF2F2F2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47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7"/>
      </patternFill>
    </fill>
  </fills>
  <borders count="1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theme="1"/>
      </left>
      <right style="medium">
        <color theme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2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thin">
        <color rgb="FF3F3F3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350">
    <xf numFmtId="0" fontId="0" fillId="0" borderId="0"/>
    <xf numFmtId="0" fontId="3" fillId="2" borderId="0" applyNumberFormat="0" applyBorder="0"/>
    <xf numFmtId="0" fontId="3" fillId="2" borderId="0" applyNumberFormat="0" applyBorder="0"/>
    <xf numFmtId="0" fontId="3" fillId="3" borderId="0" applyNumberFormat="0" applyBorder="0"/>
    <xf numFmtId="0" fontId="3" fillId="3" borderId="0" applyNumberFormat="0" applyBorder="0"/>
    <xf numFmtId="0" fontId="3" fillId="3" borderId="0" applyNumberFormat="0" applyBorder="0"/>
    <xf numFmtId="0" fontId="3" fillId="2" borderId="0" applyNumberFormat="0" applyBorder="0"/>
    <xf numFmtId="0" fontId="3" fillId="2" borderId="0" applyNumberFormat="0" applyBorder="0"/>
    <xf numFmtId="0" fontId="3" fillId="2" borderId="0" applyNumberFormat="0" applyBorder="0"/>
    <xf numFmtId="0" fontId="3" fillId="2" borderId="0" applyNumberFormat="0" applyBorder="0"/>
    <xf numFmtId="0" fontId="3" fillId="2" borderId="0" applyNumberFormat="0" applyBorder="0"/>
    <xf numFmtId="0" fontId="3" fillId="4" borderId="0" applyNumberFormat="0" applyBorder="0"/>
    <xf numFmtId="0" fontId="3" fillId="4" borderId="0" applyNumberFormat="0" applyBorder="0"/>
    <xf numFmtId="0" fontId="3" fillId="4" borderId="0" applyNumberFormat="0" applyBorder="0"/>
    <xf numFmtId="0" fontId="3" fillId="5" borderId="0" applyNumberFormat="0" applyBorder="0"/>
    <xf numFmtId="0" fontId="3" fillId="5" borderId="0" applyNumberFormat="0" applyBorder="0"/>
    <xf numFmtId="0" fontId="3" fillId="5" borderId="0" applyNumberFormat="0" applyBorder="0"/>
    <xf numFmtId="0" fontId="3" fillId="6" borderId="0" applyNumberFormat="0" applyBorder="0"/>
    <xf numFmtId="0" fontId="3" fillId="6" borderId="0" applyNumberFormat="0" applyBorder="0"/>
    <xf numFmtId="0" fontId="3" fillId="6" borderId="0" applyNumberFormat="0" applyBorder="0"/>
    <xf numFmtId="0" fontId="3" fillId="7" borderId="0" applyNumberFormat="0" applyBorder="0"/>
    <xf numFmtId="0" fontId="3" fillId="7" borderId="0" applyNumberFormat="0" applyBorder="0"/>
    <xf numFmtId="0" fontId="3" fillId="7" borderId="0" applyNumberFormat="0" applyBorder="0"/>
    <xf numFmtId="0" fontId="3" fillId="8" borderId="0" applyNumberFormat="0" applyBorder="0"/>
    <xf numFmtId="0" fontId="3" fillId="8" borderId="0" applyNumberFormat="0" applyBorder="0"/>
    <xf numFmtId="0" fontId="3" fillId="8" borderId="0" applyNumberFormat="0" applyBorder="0"/>
    <xf numFmtId="0" fontId="3" fillId="9" borderId="0" applyNumberFormat="0" applyBorder="0"/>
    <xf numFmtId="0" fontId="3" fillId="9" borderId="0" applyNumberFormat="0" applyBorder="0"/>
    <xf numFmtId="0" fontId="3" fillId="9" borderId="0" applyNumberFormat="0" applyBorder="0"/>
    <xf numFmtId="0" fontId="3" fillId="10" borderId="0" applyNumberFormat="0" applyBorder="0"/>
    <xf numFmtId="0" fontId="3" fillId="10" borderId="0" applyNumberFormat="0" applyBorder="0"/>
    <xf numFmtId="0" fontId="3" fillId="10" borderId="0" applyNumberFormat="0" applyBorder="0"/>
    <xf numFmtId="0" fontId="3" fillId="5" borderId="0" applyNumberFormat="0" applyBorder="0"/>
    <xf numFmtId="0" fontId="3" fillId="5" borderId="0" applyNumberFormat="0" applyBorder="0"/>
    <xf numFmtId="0" fontId="3" fillId="5" borderId="0" applyNumberFormat="0" applyBorder="0"/>
    <xf numFmtId="0" fontId="3" fillId="8" borderId="0" applyNumberFormat="0" applyBorder="0"/>
    <xf numFmtId="0" fontId="3" fillId="8" borderId="0" applyNumberFormat="0" applyBorder="0"/>
    <xf numFmtId="0" fontId="3" fillId="8" borderId="0" applyNumberFormat="0" applyBorder="0"/>
    <xf numFmtId="0" fontId="3" fillId="11" borderId="0" applyNumberFormat="0" applyBorder="0"/>
    <xf numFmtId="0" fontId="3" fillId="11" borderId="0" applyNumberFormat="0" applyBorder="0"/>
    <xf numFmtId="0" fontId="3" fillId="11" borderId="0" applyNumberFormat="0" applyBorder="0"/>
    <xf numFmtId="0" fontId="4" fillId="12" borderId="0" applyNumberFormat="0" applyBorder="0"/>
    <xf numFmtId="0" fontId="4" fillId="9" borderId="0" applyNumberFormat="0" applyBorder="0"/>
    <xf numFmtId="0" fontId="4" fillId="10" borderId="0" applyNumberFormat="0" applyBorder="0"/>
    <xf numFmtId="0" fontId="4" fillId="13" borderId="0" applyNumberFormat="0" applyBorder="0"/>
    <xf numFmtId="0" fontId="4" fillId="14" borderId="0" applyNumberFormat="0" applyBorder="0"/>
    <xf numFmtId="0" fontId="4" fillId="15" borderId="0" applyNumberFormat="0" applyBorder="0"/>
    <xf numFmtId="0" fontId="4" fillId="16" borderId="0" applyNumberFormat="0" applyBorder="0"/>
    <xf numFmtId="0" fontId="4" fillId="16" borderId="0" applyNumberFormat="0" applyBorder="0"/>
    <xf numFmtId="0" fontId="4" fillId="17" borderId="0" applyNumberFormat="0" applyBorder="0"/>
    <xf numFmtId="0" fontId="4" fillId="17" borderId="0" applyNumberFormat="0" applyBorder="0"/>
    <xf numFmtId="0" fontId="4" fillId="18" borderId="0" applyNumberFormat="0" applyBorder="0"/>
    <xf numFmtId="0" fontId="4" fillId="18" borderId="0" applyNumberFormat="0" applyBorder="0"/>
    <xf numFmtId="0" fontId="4" fillId="13" borderId="0" applyNumberFormat="0" applyBorder="0"/>
    <xf numFmtId="0" fontId="4" fillId="13" borderId="0" applyNumberFormat="0" applyBorder="0"/>
    <xf numFmtId="0" fontId="4" fillId="14" borderId="0" applyNumberFormat="0" applyBorder="0"/>
    <xf numFmtId="0" fontId="4" fillId="14" borderId="0" applyNumberFormat="0" applyBorder="0"/>
    <xf numFmtId="0" fontId="4" fillId="19" borderId="0" applyNumberFormat="0" applyBorder="0"/>
    <xf numFmtId="0" fontId="4" fillId="19" borderId="0" applyNumberFormat="0" applyBorder="0"/>
    <xf numFmtId="0" fontId="5" fillId="20" borderId="1" applyNumberFormat="0"/>
    <xf numFmtId="0" fontId="6" fillId="21" borderId="2" applyNumberFormat="0"/>
    <xf numFmtId="0" fontId="5" fillId="20" borderId="1" applyNumberFormat="0"/>
    <xf numFmtId="0" fontId="7" fillId="20" borderId="3" applyNumberFormat="0"/>
    <xf numFmtId="0" fontId="7" fillId="20" borderId="3" applyNumberFormat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0" fontId="8" fillId="7" borderId="3" applyNumberFormat="0"/>
    <xf numFmtId="0" fontId="9" fillId="7" borderId="4" applyNumberFormat="0"/>
    <xf numFmtId="0" fontId="8" fillId="7" borderId="3" applyNumberFormat="0"/>
    <xf numFmtId="0" fontId="8" fillId="7" borderId="3" applyNumberFormat="0"/>
    <xf numFmtId="0" fontId="9" fillId="7" borderId="4" applyNumberFormat="0"/>
    <xf numFmtId="0" fontId="9" fillId="7" borderId="4" applyNumberFormat="0"/>
    <xf numFmtId="0" fontId="9" fillId="7" borderId="4" applyNumberFormat="0"/>
    <xf numFmtId="0" fontId="9" fillId="7" borderId="4" applyNumberFormat="0"/>
    <xf numFmtId="0" fontId="9" fillId="7" borderId="4" applyNumberFormat="0"/>
    <xf numFmtId="0" fontId="9" fillId="7" borderId="4" applyNumberFormat="0"/>
    <xf numFmtId="0" fontId="9" fillId="7" borderId="4" applyNumberFormat="0"/>
    <xf numFmtId="0" fontId="10" fillId="0" borderId="5" applyNumberFormat="0" applyFill="0"/>
    <xf numFmtId="0" fontId="10" fillId="0" borderId="5" applyNumberFormat="0" applyFill="0"/>
    <xf numFmtId="0" fontId="11" fillId="0" borderId="0" applyNumberFormat="0" applyFill="0" applyBorder="0"/>
    <xf numFmtId="0" fontId="11" fillId="0" borderId="0" applyNumberFormat="0" applyFill="0" applyBorder="0"/>
    <xf numFmtId="0" fontId="12" fillId="4" borderId="0" applyNumberFormat="0" applyBorder="0"/>
    <xf numFmtId="0" fontId="12" fillId="4" borderId="0" applyNumberFormat="0" applyBorder="0"/>
    <xf numFmtId="43" fontId="13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2" fillId="0" borderId="0" applyFont="0" applyFill="0" applyBorder="0"/>
    <xf numFmtId="43" fontId="13" fillId="0" borderId="0" applyFont="0" applyFill="0" applyBorder="0"/>
    <xf numFmtId="0" fontId="14" fillId="0" borderId="0" applyNumberFormat="0" applyFill="0" applyBorder="0">
      <alignment vertical="top"/>
    </xf>
    <xf numFmtId="0" fontId="13" fillId="22" borderId="6" applyNumberFormat="0" applyFont="0"/>
    <xf numFmtId="0" fontId="13" fillId="22" borderId="6" applyNumberFormat="0" applyFont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2" fillId="0" borderId="0" applyFont="0" applyFill="0" applyBorder="0"/>
    <xf numFmtId="9" fontId="13" fillId="0" borderId="0" applyFont="0" applyFill="0" applyBorder="0"/>
    <xf numFmtId="0" fontId="15" fillId="2" borderId="0" applyNumberFormat="0" applyBorder="0"/>
    <xf numFmtId="0" fontId="15" fillId="2" borderId="0" applyNumberFormat="0" applyBorder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/>
    <xf numFmtId="0" fontId="17" fillId="0" borderId="7" applyNumberFormat="0" applyFill="0"/>
    <xf numFmtId="0" fontId="17" fillId="0" borderId="7" applyNumberFormat="0" applyFill="0"/>
    <xf numFmtId="0" fontId="18" fillId="0" borderId="8" applyNumberFormat="0" applyFill="0"/>
    <xf numFmtId="0" fontId="18" fillId="0" borderId="8" applyNumberFormat="0" applyFill="0"/>
    <xf numFmtId="0" fontId="19" fillId="0" borderId="9" applyNumberFormat="0" applyFill="0"/>
    <xf numFmtId="0" fontId="19" fillId="0" borderId="9" applyNumberFormat="0" applyFill="0"/>
    <xf numFmtId="0" fontId="19" fillId="0" borderId="0" applyNumberFormat="0" applyFill="0" applyBorder="0"/>
    <xf numFmtId="0" fontId="19" fillId="0" borderId="0" applyNumberFormat="0" applyFill="0" applyBorder="0"/>
    <xf numFmtId="0" fontId="16" fillId="0" borderId="0" applyNumberFormat="0" applyFill="0" applyBorder="0"/>
    <xf numFmtId="0" fontId="20" fillId="0" borderId="10" applyNumberFormat="0" applyFill="0"/>
    <xf numFmtId="0" fontId="20" fillId="0" borderId="10" applyNumberFormat="0" applyFill="0"/>
    <xf numFmtId="0" fontId="21" fillId="0" borderId="0" applyNumberFormat="0" applyFill="0" applyBorder="0"/>
    <xf numFmtId="0" fontId="21" fillId="0" borderId="0" applyNumberFormat="0" applyFill="0" applyBorder="0"/>
    <xf numFmtId="0" fontId="22" fillId="23" borderId="11" applyNumberFormat="0"/>
    <xf numFmtId="0" fontId="22" fillId="23" borderId="11" applyNumberFormat="0"/>
    <xf numFmtId="0" fontId="81" fillId="0" borderId="0"/>
    <xf numFmtId="0" fontId="102" fillId="39" borderId="3" applyNumberFormat="0" applyAlignment="0" applyProtection="0"/>
  </cellStyleXfs>
  <cellXfs count="1026">
    <xf numFmtId="0" fontId="0" fillId="0" borderId="0" xfId="0"/>
    <xf numFmtId="0" fontId="0" fillId="0" borderId="0" xfId="0"/>
    <xf numFmtId="0" fontId="13" fillId="0" borderId="0" xfId="0" applyFont="1"/>
    <xf numFmtId="0" fontId="25" fillId="0" borderId="13" xfId="0" applyFont="1" applyBorder="1"/>
    <xf numFmtId="1" fontId="26" fillId="0" borderId="13" xfId="0" applyNumberFormat="1" applyFont="1" applyBorder="1" applyAlignment="1">
      <alignment horizontal="center" vertical="center" wrapText="1"/>
    </xf>
    <xf numFmtId="1" fontId="26" fillId="25" borderId="13" xfId="0" applyNumberFormat="1" applyFont="1" applyFill="1" applyBorder="1" applyAlignment="1">
      <alignment horizontal="center" vertical="center" wrapText="1"/>
    </xf>
    <xf numFmtId="0" fontId="27" fillId="0" borderId="13" xfId="0" applyFont="1" applyBorder="1"/>
    <xf numFmtId="1" fontId="27" fillId="26" borderId="13" xfId="0" applyNumberFormat="1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wrapText="1"/>
    </xf>
    <xf numFmtId="14" fontId="26" fillId="25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14" fontId="0" fillId="0" borderId="0" xfId="0" applyNumberFormat="1" applyAlignment="1">
      <alignment textRotation="90" wrapText="1"/>
    </xf>
    <xf numFmtId="0" fontId="2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164" fontId="29" fillId="0" borderId="17" xfId="0" applyNumberFormat="1" applyFont="1" applyBorder="1" applyAlignment="1">
      <alignment horizontal="center" vertical="center"/>
    </xf>
    <xf numFmtId="164" fontId="24" fillId="28" borderId="12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textRotation="90" wrapText="1"/>
    </xf>
    <xf numFmtId="0" fontId="27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textRotation="90" wrapText="1"/>
    </xf>
    <xf numFmtId="0" fontId="0" fillId="0" borderId="0" xfId="0" applyAlignment="1">
      <alignment wrapText="1"/>
    </xf>
    <xf numFmtId="0" fontId="32" fillId="0" borderId="0" xfId="0" applyFont="1" applyAlignment="1">
      <alignment horizontal="center" vertical="center"/>
    </xf>
    <xf numFmtId="0" fontId="28" fillId="0" borderId="21" xfId="0" applyFont="1" applyBorder="1" applyAlignment="1">
      <alignment horizontal="left" vertical="center"/>
    </xf>
    <xf numFmtId="0" fontId="29" fillId="0" borderId="21" xfId="0" applyFont="1" applyBorder="1" applyAlignment="1">
      <alignment horizontal="right" vertical="center" wrapText="1"/>
    </xf>
    <xf numFmtId="0" fontId="24" fillId="0" borderId="14" xfId="0" applyFont="1" applyBorder="1" applyAlignment="1">
      <alignment vertical="center" wrapText="1"/>
    </xf>
    <xf numFmtId="14" fontId="24" fillId="0" borderId="16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8" fillId="0" borderId="26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8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8" fillId="0" borderId="13" xfId="0" applyFont="1" applyBorder="1" applyAlignment="1">
      <alignment horizontal="center" vertical="center" wrapText="1"/>
    </xf>
    <xf numFmtId="0" fontId="13" fillId="0" borderId="31" xfId="0" applyFont="1" applyBorder="1" applyAlignment="1">
      <alignment vertical="center"/>
    </xf>
    <xf numFmtId="0" fontId="28" fillId="0" borderId="34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4" fillId="24" borderId="36" xfId="0" applyFont="1" applyFill="1" applyBorder="1" applyAlignment="1">
      <alignment horizontal="center" vertical="center"/>
    </xf>
    <xf numFmtId="164" fontId="24" fillId="24" borderId="37" xfId="0" applyNumberFormat="1" applyFont="1" applyFill="1" applyBorder="1" applyAlignment="1">
      <alignment horizontal="center" vertical="center"/>
    </xf>
    <xf numFmtId="0" fontId="24" fillId="24" borderId="37" xfId="0" applyFont="1" applyFill="1" applyBorder="1" applyAlignment="1">
      <alignment horizontal="center" vertical="center" wrapText="1"/>
    </xf>
    <xf numFmtId="0" fontId="24" fillId="24" borderId="37" xfId="0" applyFont="1" applyFill="1" applyBorder="1" applyAlignment="1">
      <alignment horizontal="left" vertical="center" wrapText="1"/>
    </xf>
    <xf numFmtId="165" fontId="34" fillId="24" borderId="37" xfId="0" applyNumberFormat="1" applyFont="1" applyFill="1" applyBorder="1" applyAlignment="1">
      <alignment horizontal="center" vertical="center" wrapText="1"/>
    </xf>
    <xf numFmtId="1" fontId="24" fillId="24" borderId="38" xfId="203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3" fillId="0" borderId="39" xfId="0" applyFont="1" applyBorder="1" applyAlignment="1">
      <alignment horizontal="center" vertical="center" wrapText="1"/>
    </xf>
    <xf numFmtId="0" fontId="0" fillId="25" borderId="40" xfId="0" applyFill="1" applyBorder="1" applyAlignment="1">
      <alignment horizontal="center" vertical="center"/>
    </xf>
    <xf numFmtId="164" fontId="13" fillId="0" borderId="41" xfId="0" applyNumberFormat="1" applyFont="1" applyBorder="1" applyAlignment="1">
      <alignment horizontal="center" vertical="center"/>
    </xf>
    <xf numFmtId="1" fontId="24" fillId="24" borderId="42" xfId="203" applyNumberFormat="1" applyFont="1" applyFill="1" applyBorder="1" applyAlignment="1">
      <alignment horizontal="center" vertical="center"/>
    </xf>
    <xf numFmtId="0" fontId="33" fillId="0" borderId="31" xfId="0" applyFont="1" applyBorder="1" applyAlignment="1">
      <alignment horizontal="center" vertical="center"/>
    </xf>
    <xf numFmtId="164" fontId="13" fillId="0" borderId="39" xfId="0" applyNumberFormat="1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164" fontId="28" fillId="0" borderId="13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left" vertical="center" wrapText="1"/>
    </xf>
    <xf numFmtId="0" fontId="28" fillId="0" borderId="13" xfId="0" applyFont="1" applyBorder="1" applyAlignment="1">
      <alignment vertical="center" wrapText="1"/>
    </xf>
    <xf numFmtId="1" fontId="26" fillId="28" borderId="4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" fontId="26" fillId="25" borderId="44" xfId="0" applyNumberFormat="1" applyFont="1" applyFill="1" applyBorder="1" applyAlignment="1">
      <alignment horizontal="center" vertical="center" wrapText="1"/>
    </xf>
    <xf numFmtId="14" fontId="32" fillId="0" borderId="0" xfId="0" applyNumberFormat="1" applyFont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39" xfId="0" applyFont="1" applyBorder="1" applyAlignment="1">
      <alignment vertical="center" wrapText="1"/>
    </xf>
    <xf numFmtId="0" fontId="36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0" fontId="28" fillId="0" borderId="13" xfId="0" applyFont="1" applyBorder="1" applyAlignment="1">
      <alignment horizontal="left" vertical="center"/>
    </xf>
    <xf numFmtId="0" fontId="28" fillId="0" borderId="13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1" fontId="35" fillId="28" borderId="49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28" fillId="0" borderId="51" xfId="0" applyFont="1" applyBorder="1" applyAlignment="1">
      <alignment horizontal="center" vertical="center"/>
    </xf>
    <xf numFmtId="0" fontId="26" fillId="25" borderId="5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0" borderId="48" xfId="0" applyBorder="1" applyAlignment="1">
      <alignment vertical="center"/>
    </xf>
    <xf numFmtId="0" fontId="33" fillId="0" borderId="0" xfId="0" applyFont="1" applyAlignment="1">
      <alignment vertical="center"/>
    </xf>
    <xf numFmtId="0" fontId="24" fillId="29" borderId="54" xfId="0" applyFont="1" applyFill="1" applyBorder="1" applyAlignment="1">
      <alignment horizontal="center" vertical="center"/>
    </xf>
    <xf numFmtId="164" fontId="24" fillId="29" borderId="55" xfId="0" applyNumberFormat="1" applyFont="1" applyFill="1" applyBorder="1" applyAlignment="1">
      <alignment horizontal="center" vertical="center"/>
    </xf>
    <xf numFmtId="0" fontId="24" fillId="29" borderId="56" xfId="0" applyFont="1" applyFill="1" applyBorder="1" applyAlignment="1">
      <alignment horizontal="left" vertical="center" wrapText="1"/>
    </xf>
    <xf numFmtId="0" fontId="24" fillId="29" borderId="37" xfId="0" applyFont="1" applyFill="1" applyBorder="1" applyAlignment="1">
      <alignment vertical="center" wrapText="1"/>
    </xf>
    <xf numFmtId="165" fontId="24" fillId="29" borderId="55" xfId="0" applyNumberFormat="1" applyFont="1" applyFill="1" applyBorder="1" applyAlignment="1">
      <alignment horizontal="center" vertical="center" wrapText="1"/>
    </xf>
    <xf numFmtId="1" fontId="24" fillId="29" borderId="38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39" xfId="0" applyFont="1" applyBorder="1" applyAlignment="1">
      <alignment vertical="center" wrapText="1"/>
    </xf>
    <xf numFmtId="1" fontId="38" fillId="29" borderId="57" xfId="0" applyNumberFormat="1" applyFont="1" applyFill="1" applyBorder="1" applyAlignment="1">
      <alignment horizontal="center" vertical="center" wrapText="1"/>
    </xf>
    <xf numFmtId="0" fontId="33" fillId="0" borderId="31" xfId="0" applyFont="1" applyBorder="1" applyAlignment="1">
      <alignment vertical="center"/>
    </xf>
    <xf numFmtId="0" fontId="33" fillId="0" borderId="48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39" fillId="30" borderId="58" xfId="0" applyFont="1" applyFill="1" applyBorder="1" applyAlignment="1">
      <alignment horizontal="center" vertical="center"/>
    </xf>
    <xf numFmtId="164" fontId="39" fillId="30" borderId="13" xfId="0" applyNumberFormat="1" applyFont="1" applyFill="1" applyBorder="1" applyAlignment="1">
      <alignment horizontal="center" vertical="center"/>
    </xf>
    <xf numFmtId="0" fontId="39" fillId="30" borderId="13" xfId="0" applyFont="1" applyFill="1" applyBorder="1" applyAlignment="1">
      <alignment horizontal="left" vertical="center" wrapText="1"/>
    </xf>
    <xf numFmtId="0" fontId="26" fillId="30" borderId="13" xfId="0" applyFont="1" applyFill="1" applyBorder="1" applyAlignment="1">
      <alignment vertical="center" wrapText="1"/>
    </xf>
    <xf numFmtId="165" fontId="26" fillId="31" borderId="13" xfId="0" applyNumberFormat="1" applyFont="1" applyFill="1" applyBorder="1" applyAlignment="1">
      <alignment horizontal="center" vertical="center" wrapText="1"/>
    </xf>
    <xf numFmtId="0" fontId="39" fillId="30" borderId="44" xfId="0" applyFont="1" applyFill="1" applyBorder="1" applyAlignment="1">
      <alignment horizontal="center" vertical="center" wrapText="1"/>
    </xf>
    <xf numFmtId="0" fontId="25" fillId="0" borderId="39" xfId="0" applyFont="1" applyBorder="1" applyAlignment="1">
      <alignment vertical="center" wrapText="1"/>
    </xf>
    <xf numFmtId="0" fontId="39" fillId="30" borderId="59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1" fontId="26" fillId="28" borderId="60" xfId="0" applyNumberFormat="1" applyFont="1" applyFill="1" applyBorder="1" applyAlignment="1">
      <alignment horizontal="center" vertical="center" wrapText="1"/>
    </xf>
    <xf numFmtId="1" fontId="35" fillId="28" borderId="60" xfId="0" applyNumberFormat="1" applyFont="1" applyFill="1" applyBorder="1" applyAlignment="1">
      <alignment horizontal="center" vertical="center" wrapText="1"/>
    </xf>
    <xf numFmtId="0" fontId="36" fillId="0" borderId="13" xfId="0" applyFont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40" fillId="0" borderId="0" xfId="0" applyFont="1" applyAlignment="1">
      <alignment vertical="center"/>
    </xf>
    <xf numFmtId="0" fontId="40" fillId="0" borderId="0" xfId="0" applyFont="1" applyAlignment="1">
      <alignment vertical="center" wrapText="1"/>
    </xf>
    <xf numFmtId="0" fontId="40" fillId="0" borderId="39" xfId="0" applyFont="1" applyBorder="1" applyAlignment="1">
      <alignment vertical="center" wrapText="1"/>
    </xf>
    <xf numFmtId="0" fontId="40" fillId="0" borderId="31" xfId="0" applyFont="1" applyBorder="1" applyAlignment="1">
      <alignment vertical="center"/>
    </xf>
    <xf numFmtId="0" fontId="40" fillId="0" borderId="48" xfId="0" applyFont="1" applyBorder="1" applyAlignment="1">
      <alignment vertical="center"/>
    </xf>
    <xf numFmtId="0" fontId="36" fillId="0" borderId="51" xfId="0" applyFont="1" applyBorder="1" applyAlignment="1">
      <alignment vertical="center" wrapText="1"/>
    </xf>
    <xf numFmtId="0" fontId="28" fillId="0" borderId="5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24" fillId="32" borderId="54" xfId="0" applyFont="1" applyFill="1" applyBorder="1" applyAlignment="1">
      <alignment horizontal="center" vertical="center"/>
    </xf>
    <xf numFmtId="164" fontId="24" fillId="32" borderId="55" xfId="0" applyNumberFormat="1" applyFont="1" applyFill="1" applyBorder="1" applyAlignment="1">
      <alignment horizontal="center" vertical="center"/>
    </xf>
    <xf numFmtId="0" fontId="24" fillId="32" borderId="55" xfId="0" applyFont="1" applyFill="1" applyBorder="1" applyAlignment="1">
      <alignment horizontal="left" vertical="center" wrapText="1"/>
    </xf>
    <xf numFmtId="0" fontId="24" fillId="32" borderId="61" xfId="0" applyFont="1" applyFill="1" applyBorder="1" applyAlignment="1">
      <alignment horizontal="left" vertical="center" wrapText="1"/>
    </xf>
    <xf numFmtId="165" fontId="24" fillId="32" borderId="37" xfId="0" applyNumberFormat="1" applyFont="1" applyFill="1" applyBorder="1" applyAlignment="1">
      <alignment horizontal="center" vertical="center" wrapText="1"/>
    </xf>
    <xf numFmtId="1" fontId="24" fillId="32" borderId="57" xfId="0" applyNumberFormat="1" applyFont="1" applyFill="1" applyBorder="1" applyAlignment="1">
      <alignment horizontal="center" vertical="center" wrapText="1"/>
    </xf>
    <xf numFmtId="1" fontId="38" fillId="32" borderId="57" xfId="0" applyNumberFormat="1" applyFont="1" applyFill="1" applyBorder="1" applyAlignment="1">
      <alignment horizontal="center" vertical="center" wrapText="1"/>
    </xf>
    <xf numFmtId="0" fontId="26" fillId="33" borderId="43" xfId="0" applyFont="1" applyFill="1" applyBorder="1" applyAlignment="1">
      <alignment horizontal="center" vertical="center"/>
    </xf>
    <xf numFmtId="164" fontId="26" fillId="33" borderId="13" xfId="0" applyNumberFormat="1" applyFont="1" applyFill="1" applyBorder="1" applyAlignment="1">
      <alignment horizontal="center" vertical="center"/>
    </xf>
    <xf numFmtId="0" fontId="26" fillId="33" borderId="13" xfId="0" applyFont="1" applyFill="1" applyBorder="1" applyAlignment="1">
      <alignment horizontal="left" vertical="center" wrapText="1"/>
    </xf>
    <xf numFmtId="0" fontId="26" fillId="33" borderId="13" xfId="0" applyFont="1" applyFill="1" applyBorder="1" applyAlignment="1">
      <alignment vertical="center" wrapText="1"/>
    </xf>
    <xf numFmtId="165" fontId="26" fillId="33" borderId="13" xfId="0" applyNumberFormat="1" applyFont="1" applyFill="1" applyBorder="1" applyAlignment="1">
      <alignment horizontal="center" vertical="center" wrapText="1"/>
    </xf>
    <xf numFmtId="1" fontId="26" fillId="33" borderId="44" xfId="0" applyNumberFormat="1" applyFont="1" applyFill="1" applyBorder="1" applyAlignment="1">
      <alignment horizontal="center" vertical="center" wrapText="1"/>
    </xf>
    <xf numFmtId="1" fontId="35" fillId="33" borderId="59" xfId="0" applyNumberFormat="1" applyFont="1" applyFill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/>
    </xf>
    <xf numFmtId="164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62" xfId="0" applyFont="1" applyBorder="1" applyAlignment="1">
      <alignment horizontal="center" vertical="center"/>
    </xf>
    <xf numFmtId="164" fontId="13" fillId="0" borderId="51" xfId="0" applyNumberFormat="1" applyFont="1" applyBorder="1" applyAlignment="1">
      <alignment horizontal="center" vertical="center"/>
    </xf>
    <xf numFmtId="0" fontId="13" fillId="0" borderId="51" xfId="0" applyFont="1" applyBorder="1" applyAlignment="1">
      <alignment horizontal="left" vertical="center" wrapText="1"/>
    </xf>
    <xf numFmtId="1" fontId="26" fillId="28" borderId="63" xfId="0" applyNumberFormat="1" applyFont="1" applyFill="1" applyBorder="1" applyAlignment="1">
      <alignment horizontal="center" vertical="center" wrapText="1"/>
    </xf>
    <xf numFmtId="1" fontId="26" fillId="28" borderId="59" xfId="0" applyNumberFormat="1" applyFont="1" applyFill="1" applyBorder="1" applyAlignment="1">
      <alignment horizontal="center" vertical="center" wrapText="1"/>
    </xf>
    <xf numFmtId="1" fontId="35" fillId="28" borderId="46" xfId="0" applyNumberFormat="1" applyFont="1" applyFill="1" applyBorder="1" applyAlignment="1">
      <alignment horizontal="center" vertical="center" wrapText="1"/>
    </xf>
    <xf numFmtId="0" fontId="24" fillId="34" borderId="54" xfId="0" applyFont="1" applyFill="1" applyBorder="1" applyAlignment="1">
      <alignment horizontal="center" vertical="center"/>
    </xf>
    <xf numFmtId="164" fontId="24" fillId="34" borderId="55" xfId="0" applyNumberFormat="1" applyFont="1" applyFill="1" applyBorder="1" applyAlignment="1">
      <alignment horizontal="center" vertical="center"/>
    </xf>
    <xf numFmtId="0" fontId="24" fillId="34" borderId="55" xfId="0" applyFont="1" applyFill="1" applyBorder="1" applyAlignment="1">
      <alignment horizontal="left" vertical="center" wrapText="1"/>
    </xf>
    <xf numFmtId="0" fontId="24" fillId="34" borderId="61" xfId="0" applyFont="1" applyFill="1" applyBorder="1" applyAlignment="1">
      <alignment vertical="center" wrapText="1"/>
    </xf>
    <xf numFmtId="165" fontId="24" fillId="34" borderId="61" xfId="0" applyNumberFormat="1" applyFont="1" applyFill="1" applyBorder="1" applyAlignment="1">
      <alignment horizontal="center" vertical="center" wrapText="1"/>
    </xf>
    <xf numFmtId="1" fontId="24" fillId="34" borderId="38" xfId="0" applyNumberFormat="1" applyFont="1" applyFill="1" applyBorder="1" applyAlignment="1">
      <alignment horizontal="center" vertical="center" wrapText="1"/>
    </xf>
    <xf numFmtId="1" fontId="35" fillId="0" borderId="0" xfId="0" applyNumberFormat="1" applyFont="1" applyAlignment="1">
      <alignment horizontal="center" vertical="center" wrapText="1"/>
    </xf>
    <xf numFmtId="1" fontId="38" fillId="34" borderId="42" xfId="0" applyNumberFormat="1" applyFont="1" applyFill="1" applyBorder="1" applyAlignment="1">
      <alignment horizontal="center" vertical="center" wrapText="1"/>
    </xf>
    <xf numFmtId="0" fontId="25" fillId="35" borderId="43" xfId="0" applyFont="1" applyFill="1" applyBorder="1" applyAlignment="1">
      <alignment horizontal="center" vertical="center"/>
    </xf>
    <xf numFmtId="164" fontId="25" fillId="35" borderId="13" xfId="0" applyNumberFormat="1" applyFont="1" applyFill="1" applyBorder="1" applyAlignment="1">
      <alignment horizontal="center" vertical="center"/>
    </xf>
    <xf numFmtId="0" fontId="26" fillId="35" borderId="13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vertical="center" wrapText="1"/>
    </xf>
    <xf numFmtId="165" fontId="26" fillId="35" borderId="13" xfId="0" applyNumberFormat="1" applyFont="1" applyFill="1" applyBorder="1" applyAlignment="1">
      <alignment horizontal="center" vertical="center" wrapText="1"/>
    </xf>
    <xf numFmtId="0" fontId="26" fillId="35" borderId="44" xfId="0" applyFont="1" applyFill="1" applyBorder="1" applyAlignment="1">
      <alignment horizontal="center" vertical="center" wrapText="1"/>
    </xf>
    <xf numFmtId="0" fontId="26" fillId="35" borderId="49" xfId="0" applyFont="1" applyFill="1" applyBorder="1" applyAlignment="1">
      <alignment horizontal="center" vertical="center" wrapText="1"/>
    </xf>
    <xf numFmtId="1" fontId="35" fillId="0" borderId="39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1" fontId="26" fillId="35" borderId="44" xfId="0" applyNumberFormat="1" applyFont="1" applyFill="1" applyBorder="1" applyAlignment="1">
      <alignment horizontal="center" vertical="center" wrapText="1"/>
    </xf>
    <xf numFmtId="1" fontId="35" fillId="35" borderId="49" xfId="0" applyNumberFormat="1" applyFont="1" applyFill="1" applyBorder="1" applyAlignment="1">
      <alignment horizontal="center" vertical="center" wrapText="1"/>
    </xf>
    <xf numFmtId="164" fontId="13" fillId="0" borderId="65" xfId="0" applyNumberFormat="1" applyFont="1" applyBorder="1" applyAlignment="1">
      <alignment horizontal="center" vertical="center"/>
    </xf>
    <xf numFmtId="0" fontId="13" fillId="0" borderId="65" xfId="0" applyFont="1" applyBorder="1" applyAlignment="1">
      <alignment horizontal="left" vertical="center" wrapText="1"/>
    </xf>
    <xf numFmtId="0" fontId="36" fillId="0" borderId="65" xfId="203" applyFont="1" applyBorder="1" applyAlignment="1">
      <alignment vertical="center" wrapText="1"/>
    </xf>
    <xf numFmtId="1" fontId="35" fillId="28" borderId="66" xfId="0" applyNumberFormat="1" applyFont="1" applyFill="1" applyBorder="1" applyAlignment="1">
      <alignment horizontal="center" vertical="center" wrapText="1"/>
    </xf>
    <xf numFmtId="0" fontId="36" fillId="0" borderId="51" xfId="203" applyFont="1" applyBorder="1" applyAlignment="1">
      <alignment vertical="center" wrapText="1"/>
    </xf>
    <xf numFmtId="0" fontId="28" fillId="0" borderId="67" xfId="0" applyFont="1" applyBorder="1" applyAlignment="1">
      <alignment horizontal="center" vertical="center" wrapText="1"/>
    </xf>
    <xf numFmtId="1" fontId="26" fillId="28" borderId="68" xfId="0" applyNumberFormat="1" applyFont="1" applyFill="1" applyBorder="1" applyAlignment="1">
      <alignment horizontal="center" vertical="center" wrapText="1"/>
    </xf>
    <xf numFmtId="1" fontId="35" fillId="28" borderId="69" xfId="0" applyNumberFormat="1" applyFont="1" applyFill="1" applyBorder="1" applyAlignment="1">
      <alignment horizontal="center" vertical="center" wrapText="1"/>
    </xf>
    <xf numFmtId="0" fontId="0" fillId="0" borderId="43" xfId="0" applyBorder="1" applyAlignment="1">
      <alignment vertical="center"/>
    </xf>
    <xf numFmtId="0" fontId="0" fillId="0" borderId="70" xfId="0" applyBorder="1" applyAlignment="1">
      <alignment vertical="center"/>
    </xf>
    <xf numFmtId="165" fontId="26" fillId="0" borderId="14" xfId="0" applyNumberFormat="1" applyFont="1" applyBorder="1" applyAlignment="1">
      <alignment horizontal="right" vertical="center"/>
    </xf>
    <xf numFmtId="165" fontId="26" fillId="0" borderId="20" xfId="0" applyNumberFormat="1" applyFont="1" applyBorder="1" applyAlignment="1">
      <alignment horizontal="center" vertical="center"/>
    </xf>
    <xf numFmtId="3" fontId="26" fillId="0" borderId="71" xfId="0" applyNumberFormat="1" applyFont="1" applyBorder="1" applyAlignment="1">
      <alignment horizontal="center" vertical="center"/>
    </xf>
    <xf numFmtId="3" fontId="26" fillId="0" borderId="45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13" fillId="0" borderId="0" xfId="203" applyFont="1"/>
    <xf numFmtId="0" fontId="26" fillId="0" borderId="0" xfId="203" applyFont="1" applyAlignment="1">
      <alignment horizontal="left" vertical="center"/>
    </xf>
    <xf numFmtId="0" fontId="26" fillId="0" borderId="0" xfId="203" applyFont="1" applyAlignment="1">
      <alignment horizontal="center"/>
    </xf>
    <xf numFmtId="0" fontId="26" fillId="0" borderId="0" xfId="203" applyFont="1" applyAlignment="1">
      <alignment horizontal="center" vertical="center"/>
    </xf>
    <xf numFmtId="0" fontId="13" fillId="0" borderId="0" xfId="203" applyFont="1" applyAlignment="1">
      <alignment vertical="center"/>
    </xf>
    <xf numFmtId="0" fontId="13" fillId="0" borderId="31" xfId="203" applyFont="1" applyBorder="1" applyAlignment="1">
      <alignment vertical="center"/>
    </xf>
    <xf numFmtId="0" fontId="13" fillId="0" borderId="31" xfId="203" applyFont="1" applyBorder="1" applyAlignment="1">
      <alignment horizontal="left" vertical="center" wrapText="1"/>
    </xf>
    <xf numFmtId="0" fontId="39" fillId="28" borderId="75" xfId="203" applyFont="1" applyFill="1" applyBorder="1" applyAlignment="1">
      <alignment vertical="center" wrapText="1"/>
    </xf>
    <xf numFmtId="0" fontId="25" fillId="0" borderId="0" xfId="203" applyFont="1" applyAlignment="1">
      <alignment vertical="center"/>
    </xf>
    <xf numFmtId="0" fontId="28" fillId="35" borderId="36" xfId="203" applyFont="1" applyFill="1" applyBorder="1" applyAlignment="1">
      <alignment vertical="center" wrapText="1"/>
    </xf>
    <xf numFmtId="0" fontId="31" fillId="35" borderId="42" xfId="97" applyFont="1" applyFill="1" applyBorder="1" applyAlignment="1">
      <alignment horizontal="center" vertical="center"/>
    </xf>
    <xf numFmtId="0" fontId="13" fillId="0" borderId="43" xfId="203" applyFont="1" applyBorder="1" applyAlignment="1">
      <alignment vertical="center"/>
    </xf>
    <xf numFmtId="0" fontId="28" fillId="0" borderId="77" xfId="203" applyFont="1" applyBorder="1" applyAlignment="1">
      <alignment vertical="center" wrapText="1"/>
    </xf>
    <xf numFmtId="0" fontId="13" fillId="0" borderId="77" xfId="203" applyFont="1" applyBorder="1" applyAlignment="1">
      <alignment vertical="center"/>
    </xf>
    <xf numFmtId="0" fontId="13" fillId="0" borderId="48" xfId="203" applyFont="1" applyBorder="1" applyAlignment="1">
      <alignment vertical="center"/>
    </xf>
    <xf numFmtId="0" fontId="13" fillId="0" borderId="80" xfId="203" applyFont="1" applyBorder="1" applyAlignment="1">
      <alignment vertical="center" wrapText="1"/>
    </xf>
    <xf numFmtId="0" fontId="13" fillId="25" borderId="47" xfId="97" applyFont="1" applyFill="1" applyBorder="1" applyAlignment="1">
      <alignment horizontal="center" vertical="center"/>
    </xf>
    <xf numFmtId="0" fontId="13" fillId="0" borderId="80" xfId="203" applyFont="1" applyBorder="1" applyAlignment="1">
      <alignment horizontal="center" vertical="center" wrapText="1"/>
    </xf>
    <xf numFmtId="0" fontId="13" fillId="0" borderId="83" xfId="203" applyFont="1" applyBorder="1" applyAlignment="1">
      <alignment vertical="center" wrapText="1"/>
    </xf>
    <xf numFmtId="0" fontId="13" fillId="0" borderId="0" xfId="203" applyFont="1" applyAlignment="1">
      <alignment horizontal="center" vertical="center" wrapText="1"/>
    </xf>
    <xf numFmtId="0" fontId="13" fillId="0" borderId="83" xfId="203" applyFont="1" applyBorder="1" applyAlignment="1">
      <alignment horizontal="center" vertical="center" wrapText="1"/>
    </xf>
    <xf numFmtId="0" fontId="13" fillId="0" borderId="85" xfId="203" applyFont="1" applyBorder="1" applyAlignment="1">
      <alignment horizontal="center" vertical="center" wrapText="1"/>
    </xf>
    <xf numFmtId="0" fontId="13" fillId="0" borderId="64" xfId="203" applyFont="1" applyBorder="1" applyAlignment="1">
      <alignment horizontal="center" vertical="center" wrapText="1"/>
    </xf>
    <xf numFmtId="0" fontId="13" fillId="25" borderId="66" xfId="97" applyFont="1" applyFill="1" applyBorder="1" applyAlignment="1">
      <alignment horizontal="center" vertical="center"/>
    </xf>
    <xf numFmtId="0" fontId="13" fillId="0" borderId="88" xfId="203" applyFont="1" applyBorder="1" applyAlignment="1">
      <alignment horizontal="center" vertical="center" wrapText="1"/>
    </xf>
    <xf numFmtId="0" fontId="13" fillId="0" borderId="83" xfId="203" applyFont="1" applyBorder="1" applyAlignment="1">
      <alignment horizontal="left" vertical="center" wrapText="1"/>
    </xf>
    <xf numFmtId="0" fontId="13" fillId="0" borderId="39" xfId="203" applyFont="1" applyBorder="1" applyAlignment="1">
      <alignment horizontal="center" vertical="center" wrapText="1"/>
    </xf>
    <xf numFmtId="0" fontId="13" fillId="0" borderId="80" xfId="203" applyFont="1" applyBorder="1" applyAlignment="1">
      <alignment horizontal="left" vertical="center" wrapText="1"/>
    </xf>
    <xf numFmtId="0" fontId="39" fillId="28" borderId="89" xfId="203" applyFont="1" applyFill="1" applyBorder="1" applyAlignment="1">
      <alignment vertical="center" wrapText="1"/>
    </xf>
    <xf numFmtId="0" fontId="39" fillId="28" borderId="69" xfId="203" applyFont="1" applyFill="1" applyBorder="1" applyAlignment="1">
      <alignment horizontal="center" vertical="center" wrapText="1"/>
    </xf>
    <xf numFmtId="0" fontId="25" fillId="0" borderId="79" xfId="203" applyFont="1" applyBorder="1" applyAlignment="1">
      <alignment horizontal="left" vertical="center" wrapText="1"/>
    </xf>
    <xf numFmtId="0" fontId="13" fillId="0" borderId="17" xfId="203" applyFont="1" applyBorder="1"/>
    <xf numFmtId="0" fontId="13" fillId="0" borderId="17" xfId="203" applyFont="1" applyBorder="1" applyAlignment="1">
      <alignment vertical="center"/>
    </xf>
    <xf numFmtId="0" fontId="14" fillId="0" borderId="0" xfId="155" applyFont="1" applyAlignment="1"/>
    <xf numFmtId="0" fontId="28" fillId="35" borderId="37" xfId="203" applyFont="1" applyFill="1" applyBorder="1" applyAlignment="1">
      <alignment vertical="center" wrapText="1"/>
    </xf>
    <xf numFmtId="0" fontId="28" fillId="35" borderId="38" xfId="203" applyFont="1" applyFill="1" applyBorder="1" applyAlignment="1">
      <alignment horizontal="center" vertical="center" wrapText="1"/>
    </xf>
    <xf numFmtId="0" fontId="31" fillId="35" borderId="72" xfId="97" applyFont="1" applyFill="1" applyBorder="1" applyAlignment="1">
      <alignment horizontal="center" vertical="center"/>
    </xf>
    <xf numFmtId="0" fontId="13" fillId="0" borderId="13" xfId="203" applyFont="1" applyBorder="1" applyAlignment="1">
      <alignment vertical="center" wrapText="1"/>
    </xf>
    <xf numFmtId="0" fontId="13" fillId="25" borderId="49" xfId="97" applyFont="1" applyFill="1" applyBorder="1" applyAlignment="1">
      <alignment horizontal="center" vertical="center"/>
    </xf>
    <xf numFmtId="0" fontId="13" fillId="0" borderId="31" xfId="203" applyFont="1" applyBorder="1" applyAlignment="1">
      <alignment horizontal="center" vertical="center" wrapText="1"/>
    </xf>
    <xf numFmtId="0" fontId="13" fillId="25" borderId="73" xfId="203" applyFont="1" applyFill="1" applyBorder="1" applyAlignment="1">
      <alignment vertical="center" wrapText="1"/>
    </xf>
    <xf numFmtId="0" fontId="13" fillId="25" borderId="31" xfId="203" applyFont="1" applyFill="1" applyBorder="1" applyAlignment="1">
      <alignment vertical="center" wrapText="1"/>
    </xf>
    <xf numFmtId="0" fontId="13" fillId="25" borderId="91" xfId="203" applyFont="1" applyFill="1" applyBorder="1" applyAlignment="1">
      <alignment horizontal="center" vertical="center" wrapText="1"/>
    </xf>
    <xf numFmtId="0" fontId="13" fillId="0" borderId="49" xfId="203" applyFont="1" applyBorder="1" applyAlignment="1">
      <alignment horizontal="center" vertical="center"/>
    </xf>
    <xf numFmtId="0" fontId="13" fillId="0" borderId="28" xfId="203" applyFont="1" applyBorder="1" applyAlignment="1">
      <alignment horizontal="center" vertical="center" wrapText="1"/>
    </xf>
    <xf numFmtId="0" fontId="13" fillId="0" borderId="48" xfId="203" applyFont="1" applyBorder="1" applyAlignment="1">
      <alignment vertical="center" wrapText="1"/>
    </xf>
    <xf numFmtId="0" fontId="13" fillId="0" borderId="91" xfId="203" applyFont="1" applyBorder="1" applyAlignment="1">
      <alignment horizontal="center" vertical="center" wrapText="1"/>
    </xf>
    <xf numFmtId="0" fontId="13" fillId="25" borderId="66" xfId="0" applyFont="1" applyFill="1" applyBorder="1" applyAlignment="1">
      <alignment horizontal="center" vertical="center"/>
    </xf>
    <xf numFmtId="0" fontId="13" fillId="0" borderId="93" xfId="203" applyFont="1" applyBorder="1" applyAlignment="1">
      <alignment vertical="center"/>
    </xf>
    <xf numFmtId="0" fontId="13" fillId="0" borderId="92" xfId="203" applyFont="1" applyBorder="1" applyAlignment="1">
      <alignment horizontal="center" vertical="center" wrapText="1"/>
    </xf>
    <xf numFmtId="0" fontId="13" fillId="0" borderId="29" xfId="203" applyFont="1" applyBorder="1" applyAlignment="1">
      <alignment vertical="center" wrapText="1"/>
    </xf>
    <xf numFmtId="0" fontId="13" fillId="25" borderId="47" xfId="0" applyFont="1" applyFill="1" applyBorder="1" applyAlignment="1">
      <alignment horizontal="center" vertical="center"/>
    </xf>
    <xf numFmtId="0" fontId="13" fillId="0" borderId="30" xfId="203" applyFont="1" applyBorder="1" applyAlignment="1">
      <alignment horizontal="center" vertical="center" wrapText="1"/>
    </xf>
    <xf numFmtId="0" fontId="13" fillId="0" borderId="31" xfId="203" applyFont="1" applyBorder="1" applyAlignment="1">
      <alignment vertical="center" wrapText="1"/>
    </xf>
    <xf numFmtId="0" fontId="13" fillId="0" borderId="44" xfId="203" applyFont="1" applyBorder="1" applyAlignment="1">
      <alignment horizontal="center" vertical="center" wrapText="1"/>
    </xf>
    <xf numFmtId="0" fontId="13" fillId="25" borderId="49" xfId="0" applyFont="1" applyFill="1" applyBorder="1" applyAlignment="1">
      <alignment horizontal="center" vertical="center"/>
    </xf>
    <xf numFmtId="0" fontId="13" fillId="25" borderId="44" xfId="203" applyFont="1" applyFill="1" applyBorder="1" applyAlignment="1">
      <alignment horizontal="center" vertical="center" wrapText="1"/>
    </xf>
    <xf numFmtId="0" fontId="13" fillId="0" borderId="0" xfId="203" applyFont="1" applyAlignment="1">
      <alignment vertical="center" wrapText="1"/>
    </xf>
    <xf numFmtId="0" fontId="13" fillId="0" borderId="64" xfId="203" applyFont="1" applyBorder="1" applyAlignment="1">
      <alignment vertical="center" wrapText="1"/>
    </xf>
    <xf numFmtId="0" fontId="13" fillId="0" borderId="66" xfId="203" applyFont="1" applyBorder="1" applyAlignment="1">
      <alignment horizontal="center" vertical="center"/>
    </xf>
    <xf numFmtId="0" fontId="13" fillId="0" borderId="92" xfId="203" applyFont="1" applyBorder="1" applyAlignment="1">
      <alignment horizontal="left" vertical="center" wrapText="1"/>
    </xf>
    <xf numFmtId="0" fontId="13" fillId="0" borderId="95" xfId="203" applyFont="1" applyBorder="1" applyAlignment="1">
      <alignment horizontal="center" vertical="center" wrapText="1"/>
    </xf>
    <xf numFmtId="0" fontId="13" fillId="0" borderId="30" xfId="203" applyFont="1" applyBorder="1" applyAlignment="1">
      <alignment horizontal="left" vertical="center" wrapText="1"/>
    </xf>
    <xf numFmtId="0" fontId="25" fillId="0" borderId="0" xfId="203" applyFont="1" applyAlignment="1">
      <alignment horizontal="left" vertical="center" wrapText="1"/>
    </xf>
    <xf numFmtId="0" fontId="2" fillId="0" borderId="0" xfId="288" applyFont="1"/>
    <xf numFmtId="0" fontId="0" fillId="0" borderId="0" xfId="288" applyFont="1"/>
    <xf numFmtId="0" fontId="45" fillId="0" borderId="0" xfId="288" applyFont="1"/>
    <xf numFmtId="0" fontId="45" fillId="0" borderId="53" xfId="288" applyFont="1" applyBorder="1"/>
    <xf numFmtId="0" fontId="31" fillId="35" borderId="54" xfId="0" applyFont="1" applyFill="1" applyBorder="1" applyAlignment="1">
      <alignment vertical="center"/>
    </xf>
    <xf numFmtId="0" fontId="45" fillId="35" borderId="55" xfId="288" applyFont="1" applyFill="1" applyBorder="1"/>
    <xf numFmtId="0" fontId="45" fillId="35" borderId="17" xfId="288" applyFont="1" applyFill="1" applyBorder="1"/>
    <xf numFmtId="0" fontId="45" fillId="35" borderId="57" xfId="288" applyFont="1" applyFill="1" applyBorder="1"/>
    <xf numFmtId="0" fontId="0" fillId="0" borderId="43" xfId="288" applyFont="1" applyBorder="1" applyAlignment="1">
      <alignment horizontal="left" vertical="center"/>
    </xf>
    <xf numFmtId="0" fontId="46" fillId="0" borderId="0" xfId="288" applyFont="1"/>
    <xf numFmtId="0" fontId="45" fillId="0" borderId="39" xfId="288" applyFont="1" applyBorder="1"/>
    <xf numFmtId="0" fontId="45" fillId="0" borderId="78" xfId="288" applyFont="1" applyBorder="1"/>
    <xf numFmtId="0" fontId="47" fillId="0" borderId="70" xfId="288" applyFont="1" applyBorder="1"/>
    <xf numFmtId="0" fontId="45" fillId="0" borderId="95" xfId="288" applyFont="1" applyBorder="1"/>
    <xf numFmtId="0" fontId="48" fillId="0" borderId="0" xfId="288" applyFont="1"/>
    <xf numFmtId="0" fontId="0" fillId="0" borderId="43" xfId="288" applyFont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center" vertical="center"/>
    </xf>
    <xf numFmtId="0" fontId="45" fillId="0" borderId="64" xfId="288" applyFont="1" applyBorder="1"/>
    <xf numFmtId="0" fontId="49" fillId="0" borderId="96" xfId="288" applyFont="1" applyBorder="1"/>
    <xf numFmtId="0" fontId="45" fillId="0" borderId="94" xfId="288" applyFont="1" applyBorder="1"/>
    <xf numFmtId="0" fontId="45" fillId="0" borderId="60" xfId="288" applyFont="1" applyBorder="1"/>
    <xf numFmtId="0" fontId="31" fillId="35" borderId="96" xfId="0" applyFont="1" applyFill="1" applyBorder="1" applyAlignment="1">
      <alignment vertical="center"/>
    </xf>
    <xf numFmtId="0" fontId="45" fillId="35" borderId="0" xfId="288" applyFont="1" applyFill="1"/>
    <xf numFmtId="0" fontId="45" fillId="35" borderId="94" xfId="288" applyFont="1" applyFill="1" applyBorder="1"/>
    <xf numFmtId="0" fontId="45" fillId="35" borderId="70" xfId="288" applyFont="1" applyFill="1" applyBorder="1"/>
    <xf numFmtId="0" fontId="45" fillId="35" borderId="95" xfId="288" applyFont="1" applyFill="1" applyBorder="1"/>
    <xf numFmtId="9" fontId="13" fillId="25" borderId="13" xfId="200" applyNumberFormat="1" applyFont="1" applyFill="1" applyBorder="1" applyAlignment="1">
      <alignment horizontal="center" vertical="center"/>
    </xf>
    <xf numFmtId="0" fontId="49" fillId="0" borderId="0" xfId="288" applyFont="1"/>
    <xf numFmtId="0" fontId="45" fillId="0" borderId="70" xfId="288" applyFont="1" applyBorder="1"/>
    <xf numFmtId="9" fontId="31" fillId="28" borderId="13" xfId="200" applyNumberFormat="1" applyFont="1" applyFill="1" applyBorder="1" applyAlignment="1">
      <alignment horizontal="center" vertical="center"/>
    </xf>
    <xf numFmtId="0" fontId="50" fillId="0" borderId="0" xfId="288" applyFont="1"/>
    <xf numFmtId="167" fontId="13" fillId="25" borderId="13" xfId="111" applyNumberFormat="1" applyFont="1" applyFill="1" applyBorder="1" applyAlignment="1">
      <alignment horizontal="center" vertical="center"/>
    </xf>
    <xf numFmtId="0" fontId="45" fillId="35" borderId="59" xfId="288" applyFont="1" applyFill="1" applyBorder="1"/>
    <xf numFmtId="0" fontId="49" fillId="35" borderId="43" xfId="0" applyFont="1" applyFill="1" applyBorder="1" applyAlignment="1">
      <alignment horizontal="center"/>
    </xf>
    <xf numFmtId="0" fontId="0" fillId="0" borderId="0" xfId="288" applyFont="1" applyAlignment="1">
      <alignment horizontal="left" vertical="center"/>
    </xf>
    <xf numFmtId="0" fontId="45" fillId="0" borderId="96" xfId="288" applyFont="1" applyBorder="1"/>
    <xf numFmtId="0" fontId="45" fillId="0" borderId="64" xfId="288" applyFont="1" applyBorder="1" applyAlignment="1">
      <alignment horizontal="center" vertical="center"/>
    </xf>
    <xf numFmtId="0" fontId="51" fillId="0" borderId="64" xfId="288" applyFont="1" applyBorder="1" applyAlignment="1">
      <alignment horizontal="center"/>
    </xf>
    <xf numFmtId="0" fontId="45" fillId="35" borderId="0" xfId="288" applyFont="1" applyFill="1" applyAlignment="1">
      <alignment horizontal="center" vertical="center"/>
    </xf>
    <xf numFmtId="0" fontId="45" fillId="35" borderId="94" xfId="288" applyFont="1" applyFill="1" applyBorder="1" applyAlignment="1">
      <alignment horizontal="center" vertical="center"/>
    </xf>
    <xf numFmtId="0" fontId="51" fillId="35" borderId="70" xfId="288" applyFont="1" applyFill="1" applyBorder="1" applyAlignment="1">
      <alignment horizontal="center"/>
    </xf>
    <xf numFmtId="2" fontId="45" fillId="35" borderId="70" xfId="288" applyNumberFormat="1" applyFont="1" applyFill="1" applyBorder="1" applyAlignment="1">
      <alignment horizontal="center" vertical="center"/>
    </xf>
    <xf numFmtId="0" fontId="45" fillId="35" borderId="59" xfId="288" applyFont="1" applyFill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5" fillId="0" borderId="17" xfId="288" applyFont="1" applyBorder="1"/>
    <xf numFmtId="0" fontId="52" fillId="33" borderId="13" xfId="288" applyFont="1" applyFill="1" applyBorder="1"/>
    <xf numFmtId="0" fontId="2" fillId="0" borderId="13" xfId="288" applyFont="1" applyBorder="1"/>
    <xf numFmtId="168" fontId="2" fillId="0" borderId="13" xfId="288" applyNumberFormat="1" applyFont="1" applyBorder="1"/>
    <xf numFmtId="0" fontId="45" fillId="0" borderId="0" xfId="204" applyFont="1"/>
    <xf numFmtId="0" fontId="45" fillId="0" borderId="0" xfId="204" applyFont="1" applyAlignment="1">
      <alignment vertical="center"/>
    </xf>
    <xf numFmtId="0" fontId="0" fillId="0" borderId="31" xfId="204" applyFont="1" applyBorder="1" applyAlignment="1">
      <alignment vertical="center"/>
    </xf>
    <xf numFmtId="0" fontId="0" fillId="0" borderId="43" xfId="204" applyFont="1" applyBorder="1" applyAlignment="1">
      <alignment vertical="center"/>
    </xf>
    <xf numFmtId="166" fontId="53" fillId="25" borderId="13" xfId="98" applyNumberFormat="1" applyFont="1" applyFill="1" applyBorder="1" applyAlignment="1">
      <alignment horizontal="right" vertical="center"/>
    </xf>
    <xf numFmtId="0" fontId="0" fillId="0" borderId="44" xfId="204" applyFont="1" applyBorder="1" applyAlignment="1">
      <alignment vertical="center"/>
    </xf>
    <xf numFmtId="0" fontId="53" fillId="25" borderId="13" xfId="98" applyFont="1" applyFill="1" applyBorder="1" applyAlignment="1">
      <alignment horizontal="center" vertical="center"/>
    </xf>
    <xf numFmtId="0" fontId="0" fillId="0" borderId="0" xfId="204" applyFont="1" applyAlignment="1">
      <alignment vertical="center"/>
    </xf>
    <xf numFmtId="0" fontId="0" fillId="0" borderId="31" xfId="204" applyFont="1" applyBorder="1" applyAlignment="1">
      <alignment horizontal="left" vertical="center" wrapText="1"/>
    </xf>
    <xf numFmtId="0" fontId="0" fillId="0" borderId="100" xfId="204" applyFont="1" applyBorder="1" applyAlignment="1">
      <alignment vertical="center"/>
    </xf>
    <xf numFmtId="0" fontId="0" fillId="0" borderId="31" xfId="204" applyFont="1" applyBorder="1" applyAlignment="1">
      <alignment vertical="center" wrapText="1"/>
    </xf>
    <xf numFmtId="166" fontId="53" fillId="25" borderId="65" xfId="98" applyNumberFormat="1" applyFont="1" applyFill="1" applyBorder="1" applyAlignment="1">
      <alignment horizontal="right" vertical="center"/>
    </xf>
    <xf numFmtId="0" fontId="0" fillId="0" borderId="91" xfId="204" applyFont="1" applyBorder="1" applyAlignment="1">
      <alignment vertical="center"/>
    </xf>
    <xf numFmtId="0" fontId="53" fillId="25" borderId="65" xfId="98" applyFont="1" applyFill="1" applyBorder="1" applyAlignment="1">
      <alignment horizontal="center" vertical="center"/>
    </xf>
    <xf numFmtId="166" fontId="13" fillId="28" borderId="65" xfId="98" applyNumberFormat="1" applyFont="1" applyFill="1" applyBorder="1" applyAlignment="1">
      <alignment horizontal="right" vertical="center"/>
    </xf>
    <xf numFmtId="0" fontId="0" fillId="0" borderId="77" xfId="204" applyFont="1" applyBorder="1" applyAlignment="1">
      <alignment vertical="center"/>
    </xf>
    <xf numFmtId="0" fontId="53" fillId="28" borderId="65" xfId="98" applyFont="1" applyFill="1" applyBorder="1" applyAlignment="1">
      <alignment horizontal="center" vertical="center"/>
    </xf>
    <xf numFmtId="0" fontId="54" fillId="0" borderId="43" xfId="204" applyFont="1" applyBorder="1"/>
    <xf numFmtId="0" fontId="53" fillId="25" borderId="13" xfId="98" applyFont="1" applyFill="1" applyBorder="1" applyAlignment="1">
      <alignment horizontal="right" vertical="center"/>
    </xf>
    <xf numFmtId="0" fontId="48" fillId="0" borderId="91" xfId="288" applyFont="1" applyBorder="1"/>
    <xf numFmtId="0" fontId="48" fillId="0" borderId="43" xfId="288" applyFont="1" applyBorder="1" applyAlignment="1">
      <alignment vertical="center"/>
    </xf>
    <xf numFmtId="0" fontId="37" fillId="0" borderId="48" xfId="204" applyFont="1" applyBorder="1" applyAlignment="1">
      <alignment horizontal="center" vertical="center" wrapText="1"/>
    </xf>
    <xf numFmtId="0" fontId="0" fillId="0" borderId="99" xfId="204" applyFont="1" applyBorder="1" applyAlignment="1">
      <alignment vertical="center"/>
    </xf>
    <xf numFmtId="0" fontId="53" fillId="25" borderId="51" xfId="98" applyFont="1" applyFill="1" applyBorder="1" applyAlignment="1">
      <alignment horizontal="center" vertical="center"/>
    </xf>
    <xf numFmtId="0" fontId="48" fillId="0" borderId="101" xfId="288" applyFont="1" applyBorder="1"/>
    <xf numFmtId="0" fontId="48" fillId="0" borderId="13" xfId="288" applyFont="1" applyBorder="1" applyAlignment="1">
      <alignment vertical="center"/>
    </xf>
    <xf numFmtId="0" fontId="0" fillId="0" borderId="50" xfId="204" applyFont="1" applyBorder="1" applyAlignment="1">
      <alignment vertical="center"/>
    </xf>
    <xf numFmtId="0" fontId="48" fillId="0" borderId="73" xfId="288" applyFont="1" applyBorder="1" applyAlignment="1">
      <alignment vertical="center"/>
    </xf>
    <xf numFmtId="0" fontId="45" fillId="0" borderId="79" xfId="204" applyFont="1" applyBorder="1"/>
    <xf numFmtId="0" fontId="45" fillId="0" borderId="95" xfId="204" applyFont="1" applyBorder="1"/>
    <xf numFmtId="0" fontId="46" fillId="0" borderId="0" xfId="204" applyFont="1"/>
    <xf numFmtId="0" fontId="45" fillId="0" borderId="93" xfId="204" applyFont="1" applyBorder="1"/>
    <xf numFmtId="0" fontId="45" fillId="0" borderId="39" xfId="204" applyFont="1" applyBorder="1"/>
    <xf numFmtId="0" fontId="45" fillId="0" borderId="100" xfId="204" applyFont="1" applyBorder="1"/>
    <xf numFmtId="166" fontId="13" fillId="28" borderId="13" xfId="208" applyNumberFormat="1" applyFont="1" applyFill="1" applyBorder="1" applyAlignment="1">
      <alignment horizontal="right" vertical="center"/>
    </xf>
    <xf numFmtId="0" fontId="0" fillId="0" borderId="88" xfId="204" applyFont="1" applyBorder="1" applyAlignment="1">
      <alignment vertical="center"/>
    </xf>
    <xf numFmtId="0" fontId="32" fillId="0" borderId="0" xfId="204" applyFont="1" applyAlignment="1">
      <alignment vertical="center"/>
    </xf>
    <xf numFmtId="0" fontId="0" fillId="0" borderId="90" xfId="204" applyFont="1" applyBorder="1" applyAlignment="1">
      <alignment vertical="center"/>
    </xf>
    <xf numFmtId="0" fontId="13" fillId="28" borderId="13" xfId="208" applyFont="1" applyFill="1" applyBorder="1" applyAlignment="1">
      <alignment horizontal="right" vertical="center"/>
    </xf>
    <xf numFmtId="0" fontId="0" fillId="0" borderId="102" xfId="204" applyFont="1" applyBorder="1" applyAlignment="1">
      <alignment vertical="center"/>
    </xf>
    <xf numFmtId="0" fontId="47" fillId="28" borderId="14" xfId="204" applyFont="1" applyFill="1" applyBorder="1" applyAlignment="1">
      <alignment vertical="center"/>
    </xf>
    <xf numFmtId="0" fontId="26" fillId="28" borderId="71" xfId="204" applyFont="1" applyFill="1" applyBorder="1" applyAlignment="1">
      <alignment horizontal="center" vertical="center"/>
    </xf>
    <xf numFmtId="0" fontId="0" fillId="0" borderId="39" xfId="204" applyFont="1" applyBorder="1" applyAlignment="1">
      <alignment vertical="center"/>
    </xf>
    <xf numFmtId="0" fontId="47" fillId="28" borderId="12" xfId="204" applyFont="1" applyFill="1" applyBorder="1" applyAlignment="1">
      <alignment vertical="center"/>
    </xf>
    <xf numFmtId="0" fontId="26" fillId="28" borderId="12" xfId="204" applyFont="1" applyFill="1" applyBorder="1" applyAlignment="1">
      <alignment horizontal="center" vertical="center"/>
    </xf>
    <xf numFmtId="0" fontId="47" fillId="28" borderId="18" xfId="204" applyFont="1" applyFill="1" applyBorder="1" applyAlignment="1">
      <alignment vertical="center"/>
    </xf>
    <xf numFmtId="0" fontId="26" fillId="28" borderId="16" xfId="204" applyFont="1" applyFill="1" applyBorder="1" applyAlignment="1">
      <alignment horizontal="center" vertical="center"/>
    </xf>
    <xf numFmtId="0" fontId="0" fillId="0" borderId="46" xfId="204" applyFont="1" applyBorder="1" applyAlignment="1">
      <alignment vertical="center"/>
    </xf>
    <xf numFmtId="0" fontId="45" fillId="0" borderId="17" xfId="204" applyFont="1" applyBorder="1"/>
    <xf numFmtId="0" fontId="50" fillId="0" borderId="36" xfId="204" applyFont="1" applyBorder="1" applyAlignment="1">
      <alignment horizontal="center" vertical="center"/>
    </xf>
    <xf numFmtId="0" fontId="45" fillId="36" borderId="38" xfId="204" applyFont="1" applyFill="1" applyBorder="1"/>
    <xf numFmtId="0" fontId="50" fillId="0" borderId="50" xfId="204" applyFont="1" applyBorder="1" applyAlignment="1">
      <alignment horizontal="center" vertical="center"/>
    </xf>
    <xf numFmtId="0" fontId="45" fillId="37" borderId="52" xfId="204" applyFont="1" applyFill="1" applyBorder="1"/>
    <xf numFmtId="0" fontId="45" fillId="36" borderId="0" xfId="204" applyFont="1" applyFill="1"/>
    <xf numFmtId="0" fontId="45" fillId="37" borderId="0" xfId="204" applyFont="1" applyFill="1"/>
    <xf numFmtId="0" fontId="45" fillId="36" borderId="36" xfId="204" applyFont="1" applyFill="1" applyBorder="1"/>
    <xf numFmtId="0" fontId="45" fillId="36" borderId="56" xfId="204" applyFont="1" applyFill="1" applyBorder="1"/>
    <xf numFmtId="0" fontId="45" fillId="36" borderId="61" xfId="204" applyFont="1" applyFill="1" applyBorder="1"/>
    <xf numFmtId="0" fontId="45" fillId="37" borderId="36" xfId="204" applyFont="1" applyFill="1" applyBorder="1"/>
    <xf numFmtId="0" fontId="45" fillId="37" borderId="38" xfId="204" applyFont="1" applyFill="1" applyBorder="1"/>
    <xf numFmtId="0" fontId="45" fillId="37" borderId="61" xfId="204" applyFont="1" applyFill="1" applyBorder="1"/>
    <xf numFmtId="0" fontId="45" fillId="36" borderId="43" xfId="204" applyFont="1" applyFill="1" applyBorder="1"/>
    <xf numFmtId="166" fontId="45" fillId="36" borderId="44" xfId="204" applyNumberFormat="1" applyFont="1" applyFill="1" applyBorder="1"/>
    <xf numFmtId="1" fontId="45" fillId="36" borderId="31" xfId="204" applyNumberFormat="1" applyFont="1" applyFill="1" applyBorder="1"/>
    <xf numFmtId="166" fontId="45" fillId="36" borderId="73" xfId="204" applyNumberFormat="1" applyFont="1" applyFill="1" applyBorder="1"/>
    <xf numFmtId="0" fontId="45" fillId="36" borderId="44" xfId="204" applyFont="1" applyFill="1" applyBorder="1"/>
    <xf numFmtId="0" fontId="45" fillId="37" borderId="105" xfId="204" applyFont="1" applyFill="1" applyBorder="1"/>
    <xf numFmtId="0" fontId="45" fillId="37" borderId="106" xfId="204" applyFont="1" applyFill="1" applyBorder="1"/>
    <xf numFmtId="0" fontId="45" fillId="37" borderId="98" xfId="204" applyFont="1" applyFill="1" applyBorder="1"/>
    <xf numFmtId="0" fontId="45" fillId="37" borderId="105" xfId="287" applyFont="1" applyFill="1" applyBorder="1"/>
    <xf numFmtId="166" fontId="45" fillId="37" borderId="98" xfId="204" applyNumberFormat="1" applyFont="1" applyFill="1" applyBorder="1"/>
    <xf numFmtId="166" fontId="45" fillId="37" borderId="106" xfId="204" applyNumberFormat="1" applyFont="1" applyFill="1" applyBorder="1"/>
    <xf numFmtId="1" fontId="45" fillId="36" borderId="99" xfId="204" applyNumberFormat="1" applyFont="1" applyFill="1" applyBorder="1"/>
    <xf numFmtId="166" fontId="45" fillId="36" borderId="101" xfId="204" applyNumberFormat="1" applyFont="1" applyFill="1" applyBorder="1"/>
    <xf numFmtId="1" fontId="45" fillId="36" borderId="36" xfId="204" applyNumberFormat="1" applyFont="1" applyFill="1" applyBorder="1"/>
    <xf numFmtId="2" fontId="45" fillId="36" borderId="38" xfId="204" applyNumberFormat="1" applyFont="1" applyFill="1" applyBorder="1"/>
    <xf numFmtId="1" fontId="45" fillId="36" borderId="105" xfId="204" applyNumberFormat="1" applyFont="1" applyFill="1" applyBorder="1"/>
    <xf numFmtId="166" fontId="45" fillId="36" borderId="106" xfId="204" applyNumberFormat="1" applyFont="1" applyFill="1" applyBorder="1"/>
    <xf numFmtId="0" fontId="45" fillId="37" borderId="102" xfId="204" applyFont="1" applyFill="1" applyBorder="1"/>
    <xf numFmtId="166" fontId="45" fillId="37" borderId="107" xfId="204" applyNumberFormat="1" applyFont="1" applyFill="1" applyBorder="1"/>
    <xf numFmtId="1" fontId="45" fillId="36" borderId="102" xfId="204" applyNumberFormat="1" applyFont="1" applyFill="1" applyBorder="1"/>
    <xf numFmtId="166" fontId="45" fillId="36" borderId="63" xfId="204" applyNumberFormat="1" applyFont="1" applyFill="1" applyBorder="1"/>
    <xf numFmtId="1" fontId="45" fillId="36" borderId="0" xfId="204" applyNumberFormat="1" applyFont="1" applyFill="1"/>
    <xf numFmtId="2" fontId="45" fillId="36" borderId="0" xfId="204" applyNumberFormat="1" applyFont="1" applyFill="1"/>
    <xf numFmtId="0" fontId="45" fillId="36" borderId="50" xfId="204" applyFont="1" applyFill="1" applyBorder="1"/>
    <xf numFmtId="166" fontId="45" fillId="36" borderId="52" xfId="204" applyNumberFormat="1" applyFont="1" applyFill="1" applyBorder="1"/>
    <xf numFmtId="1" fontId="45" fillId="0" borderId="0" xfId="204" applyNumberFormat="1" applyFont="1"/>
    <xf numFmtId="2" fontId="45" fillId="0" borderId="0" xfId="204" applyNumberFormat="1" applyFont="1"/>
    <xf numFmtId="166" fontId="45" fillId="37" borderId="63" xfId="204" applyNumberFormat="1" applyFont="1" applyFill="1" applyBorder="1"/>
    <xf numFmtId="166" fontId="57" fillId="37" borderId="106" xfId="203" applyNumberFormat="1" applyFont="1" applyFill="1" applyBorder="1"/>
    <xf numFmtId="0" fontId="45" fillId="37" borderId="102" xfId="287" applyFont="1" applyFill="1" applyBorder="1"/>
    <xf numFmtId="166" fontId="57" fillId="37" borderId="63" xfId="203" applyNumberFormat="1" applyFont="1" applyFill="1" applyBorder="1"/>
    <xf numFmtId="0" fontId="0" fillId="0" borderId="42" xfId="204" applyFont="1" applyBorder="1" applyAlignment="1">
      <alignment vertical="center"/>
    </xf>
    <xf numFmtId="0" fontId="13" fillId="25" borderId="13" xfId="98" applyFont="1" applyFill="1" applyBorder="1" applyAlignment="1">
      <alignment horizontal="right" vertical="center"/>
    </xf>
    <xf numFmtId="0" fontId="0" fillId="0" borderId="96" xfId="204" applyFont="1" applyBorder="1" applyAlignment="1">
      <alignment horizontal="left" vertical="center" wrapText="1"/>
    </xf>
    <xf numFmtId="0" fontId="0" fillId="0" borderId="48" xfId="204" applyFont="1" applyBorder="1" applyAlignment="1">
      <alignment vertical="center"/>
    </xf>
    <xf numFmtId="0" fontId="0" fillId="0" borderId="105" xfId="204" applyFont="1" applyBorder="1" applyAlignment="1">
      <alignment vertical="center"/>
    </xf>
    <xf numFmtId="0" fontId="0" fillId="0" borderId="106" xfId="204" applyFont="1" applyBorder="1" applyAlignment="1">
      <alignment vertical="center"/>
    </xf>
    <xf numFmtId="0" fontId="0" fillId="0" borderId="49" xfId="204" applyFont="1" applyBorder="1" applyAlignment="1">
      <alignment horizontal="left" vertical="center" wrapText="1"/>
    </xf>
    <xf numFmtId="0" fontId="0" fillId="0" borderId="93" xfId="204" applyFont="1" applyBorder="1" applyAlignment="1">
      <alignment vertical="center"/>
    </xf>
    <xf numFmtId="0" fontId="2" fillId="0" borderId="96" xfId="204" applyFont="1" applyBorder="1"/>
    <xf numFmtId="0" fontId="0" fillId="0" borderId="47" xfId="204" applyFont="1" applyBorder="1" applyAlignment="1">
      <alignment horizontal="left" vertical="center" wrapText="1"/>
    </xf>
    <xf numFmtId="0" fontId="0" fillId="0" borderId="60" xfId="204" applyFont="1" applyBorder="1" applyAlignment="1">
      <alignment vertical="center"/>
    </xf>
    <xf numFmtId="0" fontId="0" fillId="0" borderId="92" xfId="204" applyFont="1" applyBorder="1" applyAlignment="1">
      <alignment vertical="center"/>
    </xf>
    <xf numFmtId="0" fontId="0" fillId="0" borderId="95" xfId="204" applyFont="1" applyBorder="1" applyAlignment="1">
      <alignment vertical="center"/>
    </xf>
    <xf numFmtId="0" fontId="0" fillId="0" borderId="52" xfId="204" applyFont="1" applyBorder="1" applyAlignment="1">
      <alignment vertical="center"/>
    </xf>
    <xf numFmtId="0" fontId="32" fillId="0" borderId="69" xfId="204" applyFont="1" applyBorder="1" applyAlignment="1">
      <alignment horizontal="left" vertical="center" wrapText="1"/>
    </xf>
    <xf numFmtId="0" fontId="49" fillId="0" borderId="0" xfId="204" applyFont="1" applyAlignment="1">
      <alignment vertical="center"/>
    </xf>
    <xf numFmtId="0" fontId="58" fillId="0" borderId="95" xfId="204" applyFont="1" applyBorder="1" applyAlignment="1">
      <alignment vertical="center"/>
    </xf>
    <xf numFmtId="0" fontId="28" fillId="28" borderId="12" xfId="204" applyFont="1" applyFill="1" applyBorder="1" applyAlignment="1">
      <alignment vertical="center"/>
    </xf>
    <xf numFmtId="1" fontId="26" fillId="28" borderId="12" xfId="208" applyNumberFormat="1" applyFont="1" applyFill="1" applyBorder="1" applyAlignment="1">
      <alignment horizontal="center" vertical="center"/>
    </xf>
    <xf numFmtId="0" fontId="49" fillId="0" borderId="39" xfId="204" applyFont="1" applyBorder="1" applyAlignment="1">
      <alignment vertical="center"/>
    </xf>
    <xf numFmtId="1" fontId="26" fillId="28" borderId="104" xfId="208" applyNumberFormat="1" applyFont="1" applyFill="1" applyBorder="1" applyAlignment="1">
      <alignment horizontal="center" vertical="center"/>
    </xf>
    <xf numFmtId="0" fontId="0" fillId="0" borderId="45" xfId="204" applyFont="1" applyBorder="1" applyAlignment="1">
      <alignment horizontal="center" vertical="center"/>
    </xf>
    <xf numFmtId="0" fontId="45" fillId="0" borderId="0" xfId="208" applyFont="1"/>
    <xf numFmtId="0" fontId="50" fillId="0" borderId="36" xfId="208" applyFont="1" applyBorder="1"/>
    <xf numFmtId="0" fontId="45" fillId="36" borderId="38" xfId="208" applyFont="1" applyFill="1" applyBorder="1"/>
    <xf numFmtId="0" fontId="2" fillId="0" borderId="0" xfId="208" applyFont="1"/>
    <xf numFmtId="0" fontId="50" fillId="0" borderId="102" xfId="208" applyFont="1" applyBorder="1"/>
    <xf numFmtId="0" fontId="45" fillId="37" borderId="63" xfId="208" applyFont="1" applyFill="1" applyBorder="1"/>
    <xf numFmtId="0" fontId="45" fillId="36" borderId="0" xfId="208" applyFont="1" applyFill="1"/>
    <xf numFmtId="0" fontId="45" fillId="37" borderId="0" xfId="208" applyFont="1" applyFill="1"/>
    <xf numFmtId="0" fontId="50" fillId="36" borderId="36" xfId="208" applyFont="1" applyFill="1" applyBorder="1"/>
    <xf numFmtId="0" fontId="50" fillId="36" borderId="38" xfId="208" applyFont="1" applyFill="1" applyBorder="1"/>
    <xf numFmtId="0" fontId="45" fillId="36" borderId="43" xfId="208" applyFont="1" applyFill="1" applyBorder="1"/>
    <xf numFmtId="0" fontId="45" fillId="36" borderId="44" xfId="208" applyFont="1" applyFill="1" applyBorder="1"/>
    <xf numFmtId="0" fontId="45" fillId="36" borderId="31" xfId="208" applyFont="1" applyFill="1" applyBorder="1"/>
    <xf numFmtId="0" fontId="57" fillId="36" borderId="31" xfId="208" applyFont="1" applyFill="1" applyBorder="1"/>
    <xf numFmtId="0" fontId="57" fillId="36" borderId="98" xfId="208" applyFont="1" applyFill="1" applyBorder="1"/>
    <xf numFmtId="0" fontId="45" fillId="36" borderId="105" xfId="208" applyFont="1" applyFill="1" applyBorder="1"/>
    <xf numFmtId="0" fontId="45" fillId="36" borderId="106" xfId="208" applyFont="1" applyFill="1" applyBorder="1"/>
    <xf numFmtId="0" fontId="50" fillId="37" borderId="36" xfId="209" applyFont="1" applyFill="1" applyBorder="1"/>
    <xf numFmtId="0" fontId="50" fillId="37" borderId="38" xfId="209" applyFont="1" applyFill="1" applyBorder="1"/>
    <xf numFmtId="0" fontId="45" fillId="36" borderId="98" xfId="208" applyFont="1" applyFill="1" applyBorder="1"/>
    <xf numFmtId="0" fontId="45" fillId="37" borderId="43" xfId="209" applyFont="1" applyFill="1" applyBorder="1"/>
    <xf numFmtId="0" fontId="45" fillId="37" borderId="44" xfId="209" applyFont="1" applyFill="1" applyBorder="1"/>
    <xf numFmtId="0" fontId="45" fillId="37" borderId="105" xfId="209" applyFont="1" applyFill="1" applyBorder="1"/>
    <xf numFmtId="0" fontId="45" fillId="37" borderId="106" xfId="209" applyFont="1" applyFill="1" applyBorder="1"/>
    <xf numFmtId="0" fontId="45" fillId="37" borderId="98" xfId="209" applyFont="1" applyFill="1" applyBorder="1"/>
    <xf numFmtId="166" fontId="45" fillId="37" borderId="106" xfId="209" applyNumberFormat="1" applyFont="1" applyFill="1" applyBorder="1"/>
    <xf numFmtId="166" fontId="45" fillId="37" borderId="98" xfId="209" applyNumberFormat="1" applyFont="1" applyFill="1" applyBorder="1"/>
    <xf numFmtId="166" fontId="57" fillId="36" borderId="44" xfId="0" applyNumberFormat="1" applyFont="1" applyFill="1" applyBorder="1" applyAlignment="1">
      <alignment vertical="center"/>
    </xf>
    <xf numFmtId="0" fontId="45" fillId="36" borderId="77" xfId="208" applyFont="1" applyFill="1" applyBorder="1"/>
    <xf numFmtId="0" fontId="45" fillId="36" borderId="91" xfId="208" applyFont="1" applyFill="1" applyBorder="1"/>
    <xf numFmtId="0" fontId="45" fillId="36" borderId="18" xfId="208" applyFont="1" applyFill="1" applyBorder="1"/>
    <xf numFmtId="0" fontId="45" fillId="36" borderId="71" xfId="208" applyFont="1" applyFill="1" applyBorder="1"/>
    <xf numFmtId="0" fontId="45" fillId="36" borderId="80" xfId="208" applyFont="1" applyFill="1" applyBorder="1"/>
    <xf numFmtId="0" fontId="45" fillId="36" borderId="81" xfId="208" applyFont="1" applyFill="1" applyBorder="1"/>
    <xf numFmtId="166" fontId="45" fillId="37" borderId="44" xfId="209" applyNumberFormat="1" applyFont="1" applyFill="1" applyBorder="1"/>
    <xf numFmtId="0" fontId="45" fillId="37" borderId="77" xfId="209" applyFont="1" applyFill="1" applyBorder="1"/>
    <xf numFmtId="166" fontId="45" fillId="37" borderId="91" xfId="209" applyNumberFormat="1" applyFont="1" applyFill="1" applyBorder="1"/>
    <xf numFmtId="0" fontId="45" fillId="37" borderId="18" xfId="208" applyFont="1" applyFill="1" applyBorder="1"/>
    <xf numFmtId="0" fontId="45" fillId="37" borderId="71" xfId="208" applyFont="1" applyFill="1" applyBorder="1"/>
    <xf numFmtId="0" fontId="45" fillId="37" borderId="80" xfId="208" applyFont="1" applyFill="1" applyBorder="1"/>
    <xf numFmtId="0" fontId="45" fillId="37" borderId="81" xfId="208" applyFont="1" applyFill="1" applyBorder="1"/>
    <xf numFmtId="0" fontId="45" fillId="37" borderId="105" xfId="208" applyFont="1" applyFill="1" applyBorder="1"/>
    <xf numFmtId="0" fontId="45" fillId="37" borderId="106" xfId="208" applyFont="1" applyFill="1" applyBorder="1"/>
    <xf numFmtId="0" fontId="45" fillId="36" borderId="99" xfId="208" applyFont="1" applyFill="1" applyBorder="1"/>
    <xf numFmtId="0" fontId="45" fillId="36" borderId="107" xfId="208" applyFont="1" applyFill="1" applyBorder="1"/>
    <xf numFmtId="0" fontId="0" fillId="36" borderId="43" xfId="0" applyFill="1" applyBorder="1"/>
    <xf numFmtId="0" fontId="0" fillId="36" borderId="44" xfId="0" applyFill="1" applyBorder="1"/>
    <xf numFmtId="0" fontId="50" fillId="36" borderId="43" xfId="208" applyFont="1" applyFill="1" applyBorder="1"/>
    <xf numFmtId="0" fontId="31" fillId="36" borderId="44" xfId="0" applyFont="1" applyFill="1" applyBorder="1" applyAlignment="1">
      <alignment vertical="center"/>
    </xf>
    <xf numFmtId="2" fontId="45" fillId="36" borderId="44" xfId="208" applyNumberFormat="1" applyFont="1" applyFill="1" applyBorder="1"/>
    <xf numFmtId="166" fontId="45" fillId="36" borderId="106" xfId="208" applyNumberFormat="1" applyFont="1" applyFill="1" applyBorder="1"/>
    <xf numFmtId="0" fontId="45" fillId="37" borderId="50" xfId="209" applyFont="1" applyFill="1" applyBorder="1"/>
    <xf numFmtId="166" fontId="45" fillId="37" borderId="107" xfId="209" applyNumberFormat="1" applyFont="1" applyFill="1" applyBorder="1"/>
    <xf numFmtId="166" fontId="45" fillId="36" borderId="44" xfId="208" applyNumberFormat="1" applyFont="1" applyFill="1" applyBorder="1"/>
    <xf numFmtId="2" fontId="45" fillId="37" borderId="44" xfId="209" applyNumberFormat="1" applyFont="1" applyFill="1" applyBorder="1"/>
    <xf numFmtId="0" fontId="50" fillId="37" borderId="43" xfId="209" applyFont="1" applyFill="1" applyBorder="1" applyAlignment="1">
      <alignment horizontal="left" vertical="center"/>
    </xf>
    <xf numFmtId="2" fontId="50" fillId="37" borderId="44" xfId="209" applyNumberFormat="1" applyFont="1" applyFill="1" applyBorder="1"/>
    <xf numFmtId="166" fontId="45" fillId="37" borderId="106" xfId="208" applyNumberFormat="1" applyFont="1" applyFill="1" applyBorder="1"/>
    <xf numFmtId="0" fontId="57" fillId="36" borderId="44" xfId="0" applyFont="1" applyFill="1" applyBorder="1" applyAlignment="1">
      <alignment vertical="center"/>
    </xf>
    <xf numFmtId="0" fontId="45" fillId="36" borderId="102" xfId="208" applyFont="1" applyFill="1" applyBorder="1"/>
    <xf numFmtId="166" fontId="45" fillId="36" borderId="63" xfId="208" applyNumberFormat="1" applyFont="1" applyFill="1" applyBorder="1"/>
    <xf numFmtId="0" fontId="45" fillId="37" borderId="102" xfId="208" applyFont="1" applyFill="1" applyBorder="1"/>
    <xf numFmtId="166" fontId="45" fillId="37" borderId="63" xfId="208" applyNumberFormat="1" applyFont="1" applyFill="1" applyBorder="1"/>
    <xf numFmtId="0" fontId="45" fillId="36" borderId="50" xfId="208" applyFont="1" applyFill="1" applyBorder="1"/>
    <xf numFmtId="0" fontId="57" fillId="36" borderId="52" xfId="0" applyFont="1" applyFill="1" applyBorder="1" applyAlignment="1">
      <alignment vertical="center"/>
    </xf>
    <xf numFmtId="2" fontId="45" fillId="36" borderId="0" xfId="208" applyNumberFormat="1" applyFont="1" applyFill="1"/>
    <xf numFmtId="166" fontId="45" fillId="36" borderId="52" xfId="208" applyNumberFormat="1" applyFont="1" applyFill="1" applyBorder="1"/>
    <xf numFmtId="166" fontId="45" fillId="37" borderId="52" xfId="209" applyNumberFormat="1" applyFont="1" applyFill="1" applyBorder="1"/>
    <xf numFmtId="0" fontId="45" fillId="37" borderId="102" xfId="209" applyFont="1" applyFill="1" applyBorder="1"/>
    <xf numFmtId="166" fontId="45" fillId="37" borderId="63" xfId="209" applyNumberFormat="1" applyFont="1" applyFill="1" applyBorder="1"/>
    <xf numFmtId="0" fontId="45" fillId="36" borderId="52" xfId="208" applyFont="1" applyFill="1" applyBorder="1"/>
    <xf numFmtId="0" fontId="45" fillId="0" borderId="0" xfId="205" applyFont="1"/>
    <xf numFmtId="0" fontId="45" fillId="0" borderId="0" xfId="205" applyFont="1" applyAlignment="1">
      <alignment horizontal="left" vertical="center" wrapText="1"/>
    </xf>
    <xf numFmtId="0" fontId="45" fillId="0" borderId="0" xfId="205" applyFont="1" applyAlignment="1">
      <alignment vertical="center"/>
    </xf>
    <xf numFmtId="0" fontId="26" fillId="0" borderId="0" xfId="203" applyFont="1" applyAlignment="1">
      <alignment horizontal="right" vertical="center"/>
    </xf>
    <xf numFmtId="0" fontId="0" fillId="0" borderId="43" xfId="205" applyFont="1" applyBorder="1" applyAlignment="1">
      <alignment horizontal="left" vertical="center"/>
    </xf>
    <xf numFmtId="0" fontId="0" fillId="0" borderId="0" xfId="205" applyFont="1" applyAlignment="1">
      <alignment vertical="center"/>
    </xf>
    <xf numFmtId="0" fontId="13" fillId="0" borderId="79" xfId="203" applyFont="1" applyBorder="1" applyAlignment="1">
      <alignment vertical="center" wrapText="1"/>
    </xf>
    <xf numFmtId="166" fontId="53" fillId="25" borderId="13" xfId="95" applyNumberFormat="1" applyFont="1" applyFill="1" applyBorder="1" applyAlignment="1">
      <alignment horizontal="center" vertical="center"/>
    </xf>
    <xf numFmtId="0" fontId="45" fillId="0" borderId="59" xfId="205" applyFont="1" applyBorder="1" applyAlignment="1">
      <alignment vertical="center"/>
    </xf>
    <xf numFmtId="0" fontId="13" fillId="0" borderId="43" xfId="203" applyFont="1" applyBorder="1" applyAlignment="1">
      <alignment vertical="center" wrapText="1"/>
    </xf>
    <xf numFmtId="0" fontId="45" fillId="0" borderId="96" xfId="205" applyFont="1" applyBorder="1"/>
    <xf numFmtId="0" fontId="45" fillId="0" borderId="94" xfId="205" applyFont="1" applyBorder="1" applyAlignment="1">
      <alignment horizontal="right" vertical="center"/>
    </xf>
    <xf numFmtId="0" fontId="31" fillId="0" borderId="108" xfId="60" applyFont="1" applyFill="1" applyBorder="1" applyAlignment="1">
      <alignment vertical="center"/>
    </xf>
    <xf numFmtId="166" fontId="31" fillId="28" borderId="73" xfId="60" applyNumberFormat="1" applyFont="1" applyFill="1" applyBorder="1" applyAlignment="1">
      <alignment horizontal="center" vertical="center"/>
    </xf>
    <xf numFmtId="0" fontId="31" fillId="0" borderId="106" xfId="60" applyFont="1" applyFill="1" applyBorder="1" applyAlignment="1">
      <alignment vertical="center"/>
    </xf>
    <xf numFmtId="0" fontId="31" fillId="0" borderId="79" xfId="60" applyFont="1" applyFill="1" applyBorder="1" applyAlignment="1">
      <alignment vertical="center"/>
    </xf>
    <xf numFmtId="166" fontId="31" fillId="28" borderId="13" xfId="60" applyNumberFormat="1" applyFont="1" applyFill="1" applyBorder="1" applyAlignment="1">
      <alignment horizontal="center" vertical="center"/>
    </xf>
    <xf numFmtId="0" fontId="31" fillId="0" borderId="44" xfId="60" applyFont="1" applyFill="1" applyBorder="1" applyAlignment="1">
      <alignment vertical="center"/>
    </xf>
    <xf numFmtId="0" fontId="57" fillId="0" borderId="79" xfId="205" applyFont="1" applyBorder="1" applyAlignment="1">
      <alignment vertical="center"/>
    </xf>
    <xf numFmtId="0" fontId="57" fillId="0" borderId="0" xfId="205" applyFont="1" applyAlignment="1">
      <alignment horizontal="center" vertical="center"/>
    </xf>
    <xf numFmtId="0" fontId="57" fillId="0" borderId="39" xfId="205" applyFont="1" applyBorder="1" applyAlignment="1">
      <alignment vertical="center"/>
    </xf>
    <xf numFmtId="0" fontId="57" fillId="0" borderId="93" xfId="205" applyFont="1" applyBorder="1" applyAlignment="1">
      <alignment vertical="center"/>
    </xf>
    <xf numFmtId="0" fontId="57" fillId="0" borderId="64" xfId="205" applyFont="1" applyBorder="1" applyAlignment="1">
      <alignment horizontal="right" vertical="center"/>
    </xf>
    <xf numFmtId="0" fontId="31" fillId="35" borderId="96" xfId="60" applyFont="1" applyFill="1" applyBorder="1" applyAlignment="1">
      <alignment vertical="center"/>
    </xf>
    <xf numFmtId="1" fontId="31" fillId="28" borderId="73" xfId="60" applyNumberFormat="1" applyFont="1" applyFill="1" applyBorder="1" applyAlignment="1">
      <alignment horizontal="center" vertical="center"/>
    </xf>
    <xf numFmtId="0" fontId="45" fillId="0" borderId="96" xfId="205" applyFont="1" applyBorder="1" applyAlignment="1">
      <alignment vertical="center"/>
    </xf>
    <xf numFmtId="0" fontId="45" fillId="0" borderId="70" xfId="205" applyFont="1" applyBorder="1" applyAlignment="1">
      <alignment horizontal="right" vertical="center"/>
    </xf>
    <xf numFmtId="0" fontId="45" fillId="0" borderId="95" xfId="205" applyFont="1" applyBorder="1" applyAlignment="1">
      <alignment vertical="center"/>
    </xf>
    <xf numFmtId="0" fontId="49" fillId="0" borderId="0" xfId="205" applyFont="1" applyAlignment="1">
      <alignment vertical="center"/>
    </xf>
    <xf numFmtId="0" fontId="26" fillId="28" borderId="102" xfId="205" applyFont="1" applyFill="1" applyBorder="1" applyAlignment="1">
      <alignment vertical="center" wrapText="1"/>
    </xf>
    <xf numFmtId="0" fontId="13" fillId="0" borderId="0" xfId="203" applyFont="1" applyAlignment="1">
      <alignment horizontal="left"/>
    </xf>
    <xf numFmtId="0" fontId="26" fillId="0" borderId="0" xfId="203" applyFont="1" applyAlignment="1">
      <alignment horizontal="left"/>
    </xf>
    <xf numFmtId="0" fontId="26" fillId="0" borderId="0" xfId="203" applyFont="1" applyAlignment="1">
      <alignment horizontal="left" vertical="center" wrapText="1"/>
    </xf>
    <xf numFmtId="0" fontId="28" fillId="35" borderId="61" xfId="203" applyFont="1" applyFill="1" applyBorder="1" applyAlignment="1">
      <alignment horizontal="center" vertical="center" wrapText="1"/>
    </xf>
    <xf numFmtId="0" fontId="31" fillId="25" borderId="42" xfId="97" applyFont="1" applyFill="1" applyBorder="1" applyAlignment="1">
      <alignment horizontal="center" vertical="center" wrapText="1"/>
    </xf>
    <xf numFmtId="0" fontId="13" fillId="0" borderId="73" xfId="203" applyFont="1" applyBorder="1" applyAlignment="1">
      <alignment horizontal="center" vertical="center" wrapText="1"/>
    </xf>
    <xf numFmtId="0" fontId="25" fillId="0" borderId="0" xfId="203" applyFont="1"/>
    <xf numFmtId="0" fontId="26" fillId="28" borderId="50" xfId="203" applyFont="1" applyFill="1" applyBorder="1" applyAlignment="1">
      <alignment vertical="center" wrapText="1"/>
    </xf>
    <xf numFmtId="0" fontId="26" fillId="28" borderId="101" xfId="203" applyFont="1" applyFill="1" applyBorder="1" applyAlignment="1">
      <alignment horizontal="center" vertical="center"/>
    </xf>
    <xf numFmtId="0" fontId="26" fillId="28" borderId="69" xfId="203" applyFont="1" applyFill="1" applyBorder="1" applyAlignment="1">
      <alignment horizontal="center" vertical="center"/>
    </xf>
    <xf numFmtId="0" fontId="25" fillId="0" borderId="0" xfId="203" applyFont="1" applyAlignment="1">
      <alignment vertical="center" wrapText="1"/>
    </xf>
    <xf numFmtId="0" fontId="28" fillId="35" borderId="61" xfId="203" applyFont="1" applyFill="1" applyBorder="1" applyAlignment="1">
      <alignment vertical="center" wrapText="1"/>
    </xf>
    <xf numFmtId="0" fontId="31" fillId="35" borderId="72" xfId="97" applyFont="1" applyFill="1" applyBorder="1" applyAlignment="1">
      <alignment horizontal="center" vertical="center" wrapText="1"/>
    </xf>
    <xf numFmtId="0" fontId="13" fillId="0" borderId="93" xfId="0" applyFont="1" applyBorder="1" applyAlignment="1">
      <alignment vertical="center" wrapText="1"/>
    </xf>
    <xf numFmtId="0" fontId="26" fillId="28" borderId="101" xfId="203" applyFont="1" applyFill="1" applyBorder="1" applyAlignment="1">
      <alignment vertical="center"/>
    </xf>
    <xf numFmtId="0" fontId="13" fillId="0" borderId="0" xfId="203" applyFont="1" applyAlignment="1">
      <alignment horizontal="left" vertical="center" wrapText="1"/>
    </xf>
    <xf numFmtId="0" fontId="57" fillId="35" borderId="42" xfId="97" applyFont="1" applyFill="1" applyBorder="1" applyAlignment="1">
      <alignment horizontal="center" vertical="center"/>
    </xf>
    <xf numFmtId="0" fontId="36" fillId="0" borderId="43" xfId="203" applyFont="1" applyBorder="1" applyAlignment="1">
      <alignment horizontal="center" vertical="center" wrapText="1"/>
    </xf>
    <xf numFmtId="0" fontId="43" fillId="0" borderId="13" xfId="203" applyFont="1" applyBorder="1" applyAlignment="1">
      <alignment horizontal="center" vertical="center" wrapText="1"/>
    </xf>
    <xf numFmtId="0" fontId="43" fillId="0" borderId="73" xfId="203" applyFont="1" applyBorder="1" applyAlignment="1">
      <alignment horizontal="center" vertical="center" wrapText="1"/>
    </xf>
    <xf numFmtId="0" fontId="57" fillId="25" borderId="74" xfId="97" applyFont="1" applyFill="1" applyBorder="1" applyAlignment="1">
      <alignment horizontal="center" vertical="center"/>
    </xf>
    <xf numFmtId="0" fontId="36" fillId="0" borderId="77" xfId="203" applyFont="1" applyBorder="1" applyAlignment="1">
      <alignment horizontal="center" vertical="center" wrapText="1"/>
    </xf>
    <xf numFmtId="0" fontId="43" fillId="0" borderId="65" xfId="203" applyFont="1" applyBorder="1" applyAlignment="1">
      <alignment horizontal="center" vertical="center" wrapText="1"/>
    </xf>
    <xf numFmtId="0" fontId="43" fillId="0" borderId="78" xfId="203" applyFont="1" applyBorder="1" applyAlignment="1">
      <alignment horizontal="center" vertical="center" wrapText="1"/>
    </xf>
    <xf numFmtId="0" fontId="13" fillId="0" borderId="0" xfId="203" applyFont="1" applyAlignment="1">
      <alignment horizontal="left" wrapText="1"/>
    </xf>
    <xf numFmtId="0" fontId="26" fillId="0" borderId="53" xfId="203" applyFont="1" applyBorder="1" applyAlignment="1">
      <alignment horizontal="center"/>
    </xf>
    <xf numFmtId="0" fontId="28" fillId="38" borderId="103" xfId="203" applyFont="1" applyFill="1" applyBorder="1" applyAlignment="1">
      <alignment horizontal="left" vertical="center"/>
    </xf>
    <xf numFmtId="0" fontId="28" fillId="38" borderId="42" xfId="203" applyFont="1" applyFill="1" applyBorder="1" applyAlignment="1">
      <alignment horizontal="center" vertical="center"/>
    </xf>
    <xf numFmtId="0" fontId="13" fillId="0" borderId="77" xfId="203" applyFont="1" applyBorder="1" applyAlignment="1">
      <alignment horizontal="left" vertical="center" wrapText="1"/>
    </xf>
    <xf numFmtId="0" fontId="13" fillId="0" borderId="111" xfId="203" applyFont="1" applyBorder="1" applyAlignment="1">
      <alignment vertical="center"/>
    </xf>
    <xf numFmtId="166" fontId="59" fillId="25" borderId="49" xfId="97" applyNumberFormat="1" applyFont="1" applyFill="1" applyBorder="1" applyAlignment="1">
      <alignment horizontal="center" vertical="center"/>
    </xf>
    <xf numFmtId="0" fontId="13" fillId="0" borderId="58" xfId="203" applyFont="1" applyBorder="1" applyAlignment="1">
      <alignment horizontal="left" vertical="center" wrapText="1"/>
    </xf>
    <xf numFmtId="0" fontId="26" fillId="28" borderId="97" xfId="203" applyFont="1" applyFill="1" applyBorder="1" applyAlignment="1">
      <alignment vertical="center"/>
    </xf>
    <xf numFmtId="1" fontId="26" fillId="28" borderId="69" xfId="203" applyNumberFormat="1" applyFont="1" applyFill="1" applyBorder="1" applyAlignment="1">
      <alignment horizontal="center" vertical="center"/>
    </xf>
    <xf numFmtId="0" fontId="25" fillId="0" borderId="79" xfId="203" applyFont="1" applyBorder="1" applyAlignment="1">
      <alignment vertical="center"/>
    </xf>
    <xf numFmtId="0" fontId="13" fillId="0" borderId="103" xfId="203" applyFont="1" applyBorder="1"/>
    <xf numFmtId="0" fontId="28" fillId="38" borderId="42" xfId="203" applyFont="1" applyFill="1" applyBorder="1" applyAlignment="1">
      <alignment horizontal="left" vertical="center"/>
    </xf>
    <xf numFmtId="0" fontId="28" fillId="38" borderId="72" xfId="203" applyFont="1" applyFill="1" applyBorder="1" applyAlignment="1">
      <alignment horizontal="center" vertical="center"/>
    </xf>
    <xf numFmtId="0" fontId="13" fillId="0" borderId="49" xfId="203" applyFont="1" applyBorder="1" applyAlignment="1">
      <alignment vertical="center"/>
    </xf>
    <xf numFmtId="166" fontId="59" fillId="25" borderId="74" xfId="97" applyNumberFormat="1" applyFont="1" applyFill="1" applyBorder="1" applyAlignment="1">
      <alignment horizontal="center" vertical="center"/>
    </xf>
    <xf numFmtId="0" fontId="13" fillId="0" borderId="93" xfId="203" applyFont="1" applyBorder="1"/>
    <xf numFmtId="0" fontId="28" fillId="0" borderId="65" xfId="0" applyFont="1" applyBorder="1" applyAlignment="1">
      <alignment horizontal="center" vertical="center"/>
    </xf>
    <xf numFmtId="0" fontId="74" fillId="0" borderId="13" xfId="0" applyFont="1" applyBorder="1" applyAlignment="1">
      <alignment vertical="center"/>
    </xf>
    <xf numFmtId="0" fontId="28" fillId="0" borderId="62" xfId="0" applyFont="1" applyBorder="1" applyAlignment="1">
      <alignment horizontal="center" vertical="center"/>
    </xf>
    <xf numFmtId="0" fontId="28" fillId="0" borderId="112" xfId="0" applyFont="1" applyBorder="1" applyAlignment="1">
      <alignment horizontal="center" vertical="center"/>
    </xf>
    <xf numFmtId="0" fontId="28" fillId="0" borderId="112" xfId="0" applyFont="1" applyBorder="1" applyAlignment="1">
      <alignment vertical="center" wrapText="1"/>
    </xf>
    <xf numFmtId="0" fontId="75" fillId="31" borderId="43" xfId="0" applyFont="1" applyFill="1" applyBorder="1" applyAlignment="1">
      <alignment horizontal="center" vertical="center"/>
    </xf>
    <xf numFmtId="164" fontId="75" fillId="31" borderId="13" xfId="0" applyNumberFormat="1" applyFont="1" applyFill="1" applyBorder="1" applyAlignment="1">
      <alignment horizontal="center" vertical="center"/>
    </xf>
    <xf numFmtId="0" fontId="75" fillId="31" borderId="13" xfId="0" applyFont="1" applyFill="1" applyBorder="1" applyAlignment="1">
      <alignment horizontal="left" vertical="center" wrapText="1"/>
    </xf>
    <xf numFmtId="0" fontId="75" fillId="31" borderId="13" xfId="0" applyFont="1" applyFill="1" applyBorder="1" applyAlignment="1">
      <alignment vertical="center" wrapText="1"/>
    </xf>
    <xf numFmtId="165" fontId="75" fillId="31" borderId="13" xfId="0" applyNumberFormat="1" applyFont="1" applyFill="1" applyBorder="1" applyAlignment="1">
      <alignment horizontal="center" vertical="center" wrapText="1"/>
    </xf>
    <xf numFmtId="1" fontId="75" fillId="30" borderId="44" xfId="0" applyNumberFormat="1" applyFont="1" applyFill="1" applyBorder="1" applyAlignment="1">
      <alignment horizontal="center" vertical="center" wrapText="1"/>
    </xf>
    <xf numFmtId="0" fontId="76" fillId="0" borderId="43" xfId="0" applyFont="1" applyBorder="1" applyAlignment="1">
      <alignment horizontal="center" vertical="center"/>
    </xf>
    <xf numFmtId="164" fontId="76" fillId="0" borderId="13" xfId="0" applyNumberFormat="1" applyFont="1" applyBorder="1" applyAlignment="1">
      <alignment horizontal="center" vertical="center"/>
    </xf>
    <xf numFmtId="0" fontId="76" fillId="0" borderId="13" xfId="0" applyFont="1" applyBorder="1" applyAlignment="1">
      <alignment horizontal="left" vertical="center" wrapText="1"/>
    </xf>
    <xf numFmtId="0" fontId="76" fillId="0" borderId="13" xfId="0" applyFont="1" applyBorder="1" applyAlignment="1">
      <alignment vertical="center" wrapText="1"/>
    </xf>
    <xf numFmtId="0" fontId="76" fillId="0" borderId="13" xfId="0" applyFont="1" applyBorder="1" applyAlignment="1">
      <alignment horizontal="center" vertical="center" wrapText="1"/>
    </xf>
    <xf numFmtId="1" fontId="75" fillId="28" borderId="60" xfId="0" applyNumberFormat="1" applyFont="1" applyFill="1" applyBorder="1" applyAlignment="1">
      <alignment horizontal="center" vertical="center" wrapText="1"/>
    </xf>
    <xf numFmtId="0" fontId="76" fillId="0" borderId="50" xfId="0" applyFont="1" applyBorder="1" applyAlignment="1">
      <alignment horizontal="center" vertical="center"/>
    </xf>
    <xf numFmtId="164" fontId="76" fillId="0" borderId="51" xfId="0" applyNumberFormat="1" applyFont="1" applyBorder="1" applyAlignment="1">
      <alignment horizontal="center" vertical="center"/>
    </xf>
    <xf numFmtId="0" fontId="76" fillId="0" borderId="51" xfId="0" applyFont="1" applyBorder="1" applyAlignment="1">
      <alignment horizontal="left" vertical="center" wrapText="1"/>
    </xf>
    <xf numFmtId="0" fontId="76" fillId="0" borderId="51" xfId="0" applyFont="1" applyBorder="1" applyAlignment="1">
      <alignment vertical="center" wrapText="1"/>
    </xf>
    <xf numFmtId="0" fontId="76" fillId="0" borderId="51" xfId="0" applyFont="1" applyBorder="1" applyAlignment="1">
      <alignment horizontal="center" vertical="center" wrapText="1"/>
    </xf>
    <xf numFmtId="1" fontId="26" fillId="25" borderId="59" xfId="0" applyNumberFormat="1" applyFont="1" applyFill="1" applyBorder="1" applyAlignment="1">
      <alignment horizontal="center" vertical="center" wrapText="1"/>
    </xf>
    <xf numFmtId="0" fontId="26" fillId="25" borderId="76" xfId="0" applyFont="1" applyFill="1" applyBorder="1" applyAlignment="1">
      <alignment horizontal="center" vertical="center" wrapText="1"/>
    </xf>
    <xf numFmtId="0" fontId="13" fillId="0" borderId="0" xfId="203" applyFont="1" applyBorder="1" applyAlignment="1">
      <alignment horizontal="left" vertical="center" wrapText="1"/>
    </xf>
    <xf numFmtId="0" fontId="13" fillId="25" borderId="70" xfId="203" applyFont="1" applyFill="1" applyBorder="1" applyAlignment="1">
      <alignment vertical="center" wrapText="1"/>
    </xf>
    <xf numFmtId="0" fontId="80" fillId="0" borderId="0" xfId="0" applyFont="1" applyAlignment="1">
      <alignment vertical="center"/>
    </xf>
    <xf numFmtId="0" fontId="13" fillId="0" borderId="0" xfId="203" applyFont="1" applyFill="1" applyBorder="1" applyAlignment="1">
      <alignment horizontal="center" vertical="center" wrapText="1"/>
    </xf>
    <xf numFmtId="0" fontId="81" fillId="25" borderId="70" xfId="203" applyFont="1" applyFill="1" applyBorder="1" applyAlignment="1">
      <alignment vertical="center" wrapText="1"/>
    </xf>
    <xf numFmtId="0" fontId="13" fillId="0" borderId="65" xfId="203" applyFont="1" applyFill="1" applyBorder="1" applyAlignment="1">
      <alignment vertical="center" wrapText="1"/>
    </xf>
    <xf numFmtId="0" fontId="81" fillId="25" borderId="114" xfId="203" applyFont="1" applyFill="1" applyBorder="1" applyAlignment="1">
      <alignment horizontal="center" vertical="center" wrapText="1"/>
    </xf>
    <xf numFmtId="0" fontId="13" fillId="0" borderId="88" xfId="203" applyFont="1" applyFill="1" applyBorder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1" fillId="0" borderId="13" xfId="288" applyFont="1" applyBorder="1"/>
    <xf numFmtId="0" fontId="83" fillId="0" borderId="0" xfId="0" applyFont="1" applyAlignment="1">
      <alignment vertical="center"/>
    </xf>
    <xf numFmtId="0" fontId="84" fillId="35" borderId="72" xfId="0" applyFont="1" applyFill="1" applyBorder="1" applyAlignment="1">
      <alignment vertical="center"/>
    </xf>
    <xf numFmtId="0" fontId="83" fillId="35" borderId="66" xfId="0" applyFont="1" applyFill="1" applyBorder="1" applyAlignment="1">
      <alignment vertical="center"/>
    </xf>
    <xf numFmtId="0" fontId="84" fillId="35" borderId="66" xfId="0" applyFont="1" applyFill="1" applyBorder="1" applyAlignment="1">
      <alignment vertical="center"/>
    </xf>
    <xf numFmtId="0" fontId="83" fillId="35" borderId="45" xfId="0" applyFont="1" applyFill="1" applyBorder="1" applyAlignment="1">
      <alignment vertical="center"/>
    </xf>
    <xf numFmtId="169" fontId="2" fillId="0" borderId="13" xfId="288" applyNumberFormat="1" applyFont="1" applyBorder="1"/>
    <xf numFmtId="0" fontId="85" fillId="0" borderId="0" xfId="288" applyFont="1"/>
    <xf numFmtId="0" fontId="74" fillId="25" borderId="13" xfId="0" applyFont="1" applyFill="1" applyBorder="1" applyAlignment="1">
      <alignment horizontal="center" vertical="center"/>
    </xf>
    <xf numFmtId="1" fontId="31" fillId="28" borderId="115" xfId="60" applyNumberFormat="1" applyFont="1" applyFill="1" applyBorder="1" applyAlignment="1">
      <alignment horizontal="center" vertical="center"/>
    </xf>
    <xf numFmtId="0" fontId="45" fillId="0" borderId="0" xfId="288" applyFont="1" applyBorder="1"/>
    <xf numFmtId="1" fontId="42" fillId="0" borderId="116" xfId="288" applyNumberFormat="1" applyFont="1" applyBorder="1"/>
    <xf numFmtId="0" fontId="28" fillId="35" borderId="109" xfId="203" applyFont="1" applyFill="1" applyBorder="1" applyAlignment="1">
      <alignment vertical="center" wrapText="1"/>
    </xf>
    <xf numFmtId="0" fontId="73" fillId="0" borderId="13" xfId="0" applyFont="1" applyBorder="1" applyAlignment="1">
      <alignment vertical="center" wrapText="1"/>
    </xf>
    <xf numFmtId="0" fontId="13" fillId="25" borderId="13" xfId="203" applyFont="1" applyFill="1" applyBorder="1" applyAlignment="1">
      <alignment vertical="center" wrapText="1"/>
    </xf>
    <xf numFmtId="0" fontId="86" fillId="0" borderId="13" xfId="0" applyFont="1" applyBorder="1" applyAlignment="1">
      <alignment vertical="center" wrapText="1"/>
    </xf>
    <xf numFmtId="0" fontId="28" fillId="35" borderId="117" xfId="203" applyFont="1" applyFill="1" applyBorder="1" applyAlignment="1">
      <alignment vertical="center" wrapText="1"/>
    </xf>
    <xf numFmtId="0" fontId="13" fillId="0" borderId="13" xfId="203" applyFont="1" applyBorder="1" applyAlignment="1">
      <alignment vertical="center"/>
    </xf>
    <xf numFmtId="0" fontId="13" fillId="0" borderId="13" xfId="203" applyFont="1" applyBorder="1" applyAlignment="1">
      <alignment horizontal="center" vertical="center" wrapText="1"/>
    </xf>
    <xf numFmtId="0" fontId="25" fillId="0" borderId="0" xfId="203" applyFont="1" applyBorder="1" applyAlignment="1">
      <alignment horizontal="left" vertical="center" wrapText="1"/>
    </xf>
    <xf numFmtId="0" fontId="13" fillId="25" borderId="73" xfId="203" applyFont="1" applyFill="1" applyBorder="1" applyAlignment="1">
      <alignment horizontal="center" vertical="center" wrapText="1"/>
    </xf>
    <xf numFmtId="0" fontId="25" fillId="0" borderId="93" xfId="203" applyFont="1" applyBorder="1" applyAlignment="1">
      <alignment vertical="center"/>
    </xf>
    <xf numFmtId="0" fontId="25" fillId="0" borderId="70" xfId="203" applyFont="1" applyBorder="1" applyAlignment="1">
      <alignment horizontal="left" vertical="center" wrapText="1"/>
    </xf>
    <xf numFmtId="0" fontId="39" fillId="28" borderId="89" xfId="203" applyFont="1" applyFill="1" applyBorder="1" applyAlignment="1">
      <alignment horizontal="center" vertical="center" wrapText="1"/>
    </xf>
    <xf numFmtId="0" fontId="39" fillId="28" borderId="75" xfId="203" applyFont="1" applyFill="1" applyBorder="1" applyAlignment="1">
      <alignment horizontal="center" vertical="center" wrapText="1"/>
    </xf>
    <xf numFmtId="0" fontId="73" fillId="0" borderId="73" xfId="0" applyFont="1" applyBorder="1" applyAlignment="1">
      <alignment vertical="center" wrapText="1"/>
    </xf>
    <xf numFmtId="0" fontId="28" fillId="35" borderId="110" xfId="203" applyFont="1" applyFill="1" applyBorder="1" applyAlignment="1">
      <alignment horizontal="center" vertical="center" wrapText="1"/>
    </xf>
    <xf numFmtId="0" fontId="73" fillId="0" borderId="73" xfId="0" applyFont="1" applyBorder="1" applyAlignment="1">
      <alignment horizontal="center" vertical="center" wrapText="1"/>
    </xf>
    <xf numFmtId="0" fontId="73" fillId="0" borderId="44" xfId="0" applyFont="1" applyBorder="1" applyAlignment="1">
      <alignment horizontal="center" vertical="center" wrapText="1"/>
    </xf>
    <xf numFmtId="0" fontId="81" fillId="25" borderId="78" xfId="203" applyFont="1" applyFill="1" applyBorder="1" applyAlignment="1">
      <alignment horizontal="center" vertical="center" wrapText="1"/>
    </xf>
    <xf numFmtId="0" fontId="13" fillId="25" borderId="49" xfId="203" applyFont="1" applyFill="1" applyBorder="1" applyAlignment="1">
      <alignment horizontal="center" vertical="center" wrapText="1"/>
    </xf>
    <xf numFmtId="1" fontId="75" fillId="28" borderId="52" xfId="0" applyNumberFormat="1" applyFont="1" applyFill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/>
    </xf>
    <xf numFmtId="1" fontId="26" fillId="28" borderId="76" xfId="0" applyNumberFormat="1" applyFont="1" applyFill="1" applyBorder="1" applyAlignment="1">
      <alignment horizontal="center" vertical="center" wrapText="1"/>
    </xf>
    <xf numFmtId="0" fontId="91" fillId="0" borderId="0" xfId="204" applyFont="1" applyAlignment="1">
      <alignment vertical="center"/>
    </xf>
    <xf numFmtId="0" fontId="88" fillId="0" borderId="53" xfId="203" applyFont="1" applyBorder="1" applyAlignment="1">
      <alignment horizontal="center" vertical="center"/>
    </xf>
    <xf numFmtId="0" fontId="88" fillId="0" borderId="53" xfId="203" applyFont="1" applyBorder="1" applyAlignment="1">
      <alignment vertical="center"/>
    </xf>
    <xf numFmtId="0" fontId="88" fillId="0" borderId="0" xfId="203" applyFont="1" applyAlignment="1">
      <alignment horizontal="center" vertical="center"/>
    </xf>
    <xf numFmtId="0" fontId="91" fillId="0" borderId="64" xfId="204" applyFont="1" applyBorder="1" applyAlignment="1">
      <alignment vertical="center"/>
    </xf>
    <xf numFmtId="0" fontId="90" fillId="35" borderId="54" xfId="204" applyFont="1" applyFill="1" applyBorder="1" applyAlignment="1">
      <alignment horizontal="left" vertical="center"/>
    </xf>
    <xf numFmtId="0" fontId="90" fillId="35" borderId="37" xfId="204" applyFont="1" applyFill="1" applyBorder="1" applyAlignment="1">
      <alignment horizontal="center" vertical="center"/>
    </xf>
    <xf numFmtId="0" fontId="90" fillId="35" borderId="57" xfId="204" applyFont="1" applyFill="1" applyBorder="1" applyAlignment="1">
      <alignment horizontal="left" vertical="center"/>
    </xf>
    <xf numFmtId="0" fontId="92" fillId="0" borderId="80" xfId="204" applyFont="1" applyBorder="1" applyAlignment="1">
      <alignment vertical="center"/>
    </xf>
    <xf numFmtId="0" fontId="92" fillId="0" borderId="43" xfId="204" applyFont="1" applyBorder="1" applyAlignment="1">
      <alignment vertical="center"/>
    </xf>
    <xf numFmtId="166" fontId="92" fillId="25" borderId="13" xfId="98" applyNumberFormat="1" applyFont="1" applyFill="1" applyBorder="1" applyAlignment="1">
      <alignment horizontal="center" vertical="center"/>
    </xf>
    <xf numFmtId="0" fontId="92" fillId="0" borderId="44" xfId="204" applyFont="1" applyBorder="1" applyAlignment="1">
      <alignment vertical="center"/>
    </xf>
    <xf numFmtId="0" fontId="92" fillId="0" borderId="43" xfId="204" applyFont="1" applyBorder="1" applyAlignment="1">
      <alignment horizontal="left" vertical="center" wrapText="1"/>
    </xf>
    <xf numFmtId="0" fontId="92" fillId="0" borderId="105" xfId="204" applyFont="1" applyBorder="1" applyAlignment="1">
      <alignment vertical="center"/>
    </xf>
    <xf numFmtId="0" fontId="92" fillId="0" borderId="106" xfId="204" applyFont="1" applyBorder="1" applyAlignment="1">
      <alignment vertical="center"/>
    </xf>
    <xf numFmtId="0" fontId="92" fillId="0" borderId="93" xfId="204" applyFont="1" applyBorder="1" applyAlignment="1">
      <alignment vertical="center"/>
    </xf>
    <xf numFmtId="0" fontId="91" fillId="0" borderId="43" xfId="204" applyFont="1" applyBorder="1"/>
    <xf numFmtId="0" fontId="92" fillId="0" borderId="90" xfId="204" applyFont="1" applyBorder="1" applyAlignment="1">
      <alignment vertical="center"/>
    </xf>
    <xf numFmtId="0" fontId="92" fillId="0" borderId="88" xfId="204" applyFont="1" applyBorder="1" applyAlignment="1">
      <alignment vertical="center"/>
    </xf>
    <xf numFmtId="0" fontId="92" fillId="0" borderId="77" xfId="204" applyFont="1" applyBorder="1" applyAlignment="1">
      <alignment vertical="center"/>
    </xf>
    <xf numFmtId="0" fontId="92" fillId="0" borderId="60" xfId="204" applyFont="1" applyBorder="1" applyAlignment="1">
      <alignment vertical="center"/>
    </xf>
    <xf numFmtId="0" fontId="92" fillId="0" borderId="95" xfId="204" applyFont="1" applyBorder="1" applyAlignment="1">
      <alignment vertical="center"/>
    </xf>
    <xf numFmtId="0" fontId="92" fillId="0" borderId="91" xfId="204" applyFont="1" applyBorder="1" applyAlignment="1">
      <alignment vertical="center"/>
    </xf>
    <xf numFmtId="0" fontId="92" fillId="0" borderId="0" xfId="98" applyFont="1" applyFill="1" applyBorder="1" applyAlignment="1">
      <alignment vertical="center"/>
    </xf>
    <xf numFmtId="0" fontId="92" fillId="0" borderId="79" xfId="204" applyFont="1" applyBorder="1" applyAlignment="1">
      <alignment horizontal="left" vertical="center" wrapText="1"/>
    </xf>
    <xf numFmtId="0" fontId="92" fillId="0" borderId="39" xfId="204" applyFont="1" applyBorder="1" applyAlignment="1">
      <alignment vertical="center"/>
    </xf>
    <xf numFmtId="0" fontId="92" fillId="0" borderId="0" xfId="204" applyFont="1" applyAlignment="1">
      <alignment horizontal="left" vertical="center" wrapText="1"/>
    </xf>
    <xf numFmtId="0" fontId="91" fillId="0" borderId="93" xfId="204" applyFont="1" applyBorder="1" applyAlignment="1">
      <alignment vertical="center"/>
    </xf>
    <xf numFmtId="0" fontId="91" fillId="0" borderId="39" xfId="204" applyFont="1" applyBorder="1" applyAlignment="1">
      <alignment vertical="center"/>
    </xf>
    <xf numFmtId="0" fontId="90" fillId="35" borderId="96" xfId="6" applyFont="1" applyFill="1" applyBorder="1" applyAlignment="1">
      <alignment horizontal="left" vertical="center"/>
    </xf>
    <xf numFmtId="0" fontId="90" fillId="35" borderId="13" xfId="6" applyFont="1" applyFill="1" applyBorder="1" applyAlignment="1">
      <alignment horizontal="center" vertical="center"/>
    </xf>
    <xf numFmtId="0" fontId="90" fillId="35" borderId="59" xfId="6" applyFont="1" applyFill="1" applyBorder="1" applyAlignment="1">
      <alignment horizontal="left" vertical="center"/>
    </xf>
    <xf numFmtId="166" fontId="92" fillId="28" borderId="13" xfId="208" applyNumberFormat="1" applyFont="1" applyFill="1" applyBorder="1" applyAlignment="1">
      <alignment horizontal="center" vertical="center"/>
    </xf>
    <xf numFmtId="0" fontId="92" fillId="0" borderId="0" xfId="204" applyFont="1" applyAlignment="1">
      <alignment vertical="center"/>
    </xf>
    <xf numFmtId="0" fontId="94" fillId="28" borderId="18" xfId="204" applyFont="1" applyFill="1" applyBorder="1" applyAlignment="1">
      <alignment vertical="center"/>
    </xf>
    <xf numFmtId="1" fontId="88" fillId="28" borderId="16" xfId="208" applyNumberFormat="1" applyFont="1" applyFill="1" applyBorder="1" applyAlignment="1">
      <alignment horizontal="center" vertical="center"/>
    </xf>
    <xf numFmtId="0" fontId="96" fillId="0" borderId="95" xfId="204" applyFont="1" applyBorder="1" applyAlignment="1">
      <alignment vertical="center"/>
    </xf>
    <xf numFmtId="0" fontId="94" fillId="28" borderId="14" xfId="204" applyFont="1" applyFill="1" applyBorder="1" applyAlignment="1">
      <alignment vertical="center"/>
    </xf>
    <xf numFmtId="1" fontId="88" fillId="28" borderId="71" xfId="208" applyNumberFormat="1" applyFont="1" applyFill="1" applyBorder="1" applyAlignment="1">
      <alignment horizontal="center" vertical="center"/>
    </xf>
    <xf numFmtId="0" fontId="96" fillId="0" borderId="39" xfId="204" applyFont="1" applyBorder="1" applyAlignment="1">
      <alignment vertical="center"/>
    </xf>
    <xf numFmtId="0" fontId="96" fillId="0" borderId="0" xfId="204" applyFont="1" applyAlignment="1">
      <alignment vertical="center"/>
    </xf>
    <xf numFmtId="1" fontId="88" fillId="28" borderId="104" xfId="208" applyNumberFormat="1" applyFont="1" applyFill="1" applyBorder="1" applyAlignment="1">
      <alignment horizontal="center" vertical="center"/>
    </xf>
    <xf numFmtId="0" fontId="91" fillId="0" borderId="0" xfId="204" applyFont="1"/>
    <xf numFmtId="0" fontId="92" fillId="0" borderId="45" xfId="204" applyFont="1" applyBorder="1" applyAlignment="1">
      <alignment horizontal="center" vertical="center"/>
    </xf>
    <xf numFmtId="0" fontId="81" fillId="0" borderId="43" xfId="203" applyFont="1" applyBorder="1" applyAlignment="1">
      <alignment vertical="center" wrapText="1"/>
    </xf>
    <xf numFmtId="0" fontId="83" fillId="0" borderId="53" xfId="288" applyFont="1" applyBorder="1" applyProtection="1"/>
    <xf numFmtId="0" fontId="83" fillId="0" borderId="93" xfId="288" applyFont="1" applyBorder="1" applyProtection="1"/>
    <xf numFmtId="0" fontId="98" fillId="0" borderId="0" xfId="0" applyFont="1" applyBorder="1" applyAlignment="1" applyProtection="1">
      <alignment vertical="center"/>
    </xf>
    <xf numFmtId="0" fontId="83" fillId="0" borderId="0" xfId="288" applyFont="1" applyBorder="1" applyProtection="1"/>
    <xf numFmtId="0" fontId="83" fillId="0" borderId="39" xfId="288" applyFont="1" applyBorder="1" applyProtection="1"/>
    <xf numFmtId="166" fontId="74" fillId="25" borderId="13" xfId="0" applyNumberFormat="1" applyFont="1" applyFill="1" applyBorder="1" applyAlignment="1" applyProtection="1">
      <alignment horizontal="center" vertical="center"/>
      <protection locked="0"/>
    </xf>
    <xf numFmtId="0" fontId="83" fillId="0" borderId="64" xfId="288" applyFont="1" applyBorder="1" applyProtection="1"/>
    <xf numFmtId="0" fontId="73" fillId="0" borderId="13" xfId="0" applyFont="1" applyBorder="1" applyAlignment="1" applyProtection="1">
      <alignment vertical="center"/>
    </xf>
    <xf numFmtId="0" fontId="73" fillId="0" borderId="94" xfId="0" applyFont="1" applyBorder="1" applyAlignment="1" applyProtection="1">
      <alignment vertical="center"/>
    </xf>
    <xf numFmtId="0" fontId="83" fillId="0" borderId="83" xfId="288" applyFont="1" applyBorder="1" applyProtection="1"/>
    <xf numFmtId="0" fontId="73" fillId="0" borderId="31" xfId="0" applyFont="1" applyBorder="1" applyAlignment="1" applyProtection="1">
      <alignment vertical="center"/>
    </xf>
    <xf numFmtId="0" fontId="74" fillId="25" borderId="13" xfId="0" applyFont="1" applyFill="1" applyBorder="1" applyAlignment="1" applyProtection="1">
      <alignment horizontal="center" vertical="center"/>
      <protection locked="0"/>
    </xf>
    <xf numFmtId="0" fontId="83" fillId="0" borderId="70" xfId="288" applyFont="1" applyBorder="1" applyProtection="1"/>
    <xf numFmtId="166" fontId="98" fillId="28" borderId="13" xfId="200" applyNumberFormat="1" applyFont="1" applyFill="1" applyBorder="1" applyAlignment="1" applyProtection="1">
      <alignment horizontal="center" vertical="center"/>
    </xf>
    <xf numFmtId="0" fontId="83" fillId="0" borderId="97" xfId="288" applyFont="1" applyBorder="1" applyProtection="1"/>
    <xf numFmtId="0" fontId="83" fillId="0" borderId="46" xfId="288" applyFont="1" applyBorder="1" applyProtection="1"/>
    <xf numFmtId="0" fontId="2" fillId="0" borderId="53" xfId="288" applyFont="1" applyBorder="1"/>
    <xf numFmtId="0" fontId="99" fillId="0" borderId="0" xfId="0" applyFont="1" applyBorder="1" applyAlignment="1" applyProtection="1">
      <alignment vertical="center"/>
    </xf>
    <xf numFmtId="0" fontId="83" fillId="0" borderId="28" xfId="288" applyFont="1" applyBorder="1" applyProtection="1"/>
    <xf numFmtId="0" fontId="74" fillId="0" borderId="77" xfId="0" applyFont="1" applyBorder="1" applyAlignment="1" applyProtection="1">
      <alignment horizontal="center" vertical="center"/>
    </xf>
    <xf numFmtId="0" fontId="74" fillId="0" borderId="65" xfId="0" applyFont="1" applyBorder="1" applyAlignment="1" applyProtection="1">
      <alignment horizontal="center" vertical="center"/>
    </xf>
    <xf numFmtId="0" fontId="74" fillId="0" borderId="65" xfId="0" applyFont="1" applyBorder="1" applyAlignment="1" applyProtection="1">
      <alignment vertical="center"/>
    </xf>
    <xf numFmtId="1" fontId="79" fillId="28" borderId="44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Border="1" applyAlignment="1" applyProtection="1">
      <alignment horizontal="center" vertical="center"/>
    </xf>
    <xf numFmtId="0" fontId="74" fillId="0" borderId="13" xfId="0" applyFont="1" applyBorder="1" applyAlignment="1" applyProtection="1">
      <alignment horizontal="center" vertical="center"/>
    </xf>
    <xf numFmtId="0" fontId="74" fillId="0" borderId="13" xfId="0" applyFont="1" applyBorder="1" applyAlignment="1" applyProtection="1">
      <alignment vertical="center"/>
    </xf>
    <xf numFmtId="0" fontId="28" fillId="0" borderId="51" xfId="0" applyFont="1" applyBorder="1" applyAlignment="1">
      <alignment horizontal="left" vertical="center" wrapText="1"/>
    </xf>
    <xf numFmtId="0" fontId="81" fillId="0" borderId="0" xfId="348" applyProtection="1"/>
    <xf numFmtId="0" fontId="81" fillId="0" borderId="0" xfId="348" applyFont="1" applyProtection="1"/>
    <xf numFmtId="0" fontId="79" fillId="0" borderId="53" xfId="348" applyFont="1" applyBorder="1" applyAlignment="1" applyProtection="1">
      <alignment horizontal="center"/>
    </xf>
    <xf numFmtId="0" fontId="79" fillId="0" borderId="53" xfId="348" applyFont="1" applyBorder="1" applyAlignment="1" applyProtection="1">
      <alignment horizontal="center" vertical="center"/>
    </xf>
    <xf numFmtId="0" fontId="100" fillId="35" borderId="29" xfId="348" applyFont="1" applyFill="1" applyBorder="1" applyAlignment="1" applyProtection="1">
      <alignment vertical="center" wrapText="1"/>
    </xf>
    <xf numFmtId="0" fontId="100" fillId="35" borderId="37" xfId="348" applyFont="1" applyFill="1" applyBorder="1" applyAlignment="1" applyProtection="1">
      <alignment vertical="center" wrapText="1"/>
    </xf>
    <xf numFmtId="0" fontId="100" fillId="35" borderId="64" xfId="348" applyFont="1" applyFill="1" applyBorder="1" applyAlignment="1" applyProtection="1">
      <alignment horizontal="center" vertical="center" wrapText="1"/>
    </xf>
    <xf numFmtId="0" fontId="100" fillId="35" borderId="90" xfId="348" applyFont="1" applyFill="1" applyBorder="1" applyAlignment="1" applyProtection="1">
      <alignment horizontal="center" vertical="center" wrapText="1"/>
    </xf>
    <xf numFmtId="0" fontId="81" fillId="0" borderId="0" xfId="348" applyFont="1" applyAlignment="1" applyProtection="1">
      <alignment vertical="center"/>
    </xf>
    <xf numFmtId="0" fontId="81" fillId="0" borderId="43" xfId="348" applyFont="1" applyBorder="1" applyAlignment="1" applyProtection="1">
      <alignment vertical="center"/>
    </xf>
    <xf numFmtId="0" fontId="81" fillId="0" borderId="0" xfId="348" applyAlignment="1" applyProtection="1">
      <alignment vertical="center"/>
    </xf>
    <xf numFmtId="0" fontId="74" fillId="0" borderId="94" xfId="203" applyFont="1" applyBorder="1" applyAlignment="1" applyProtection="1">
      <alignment vertical="center" wrapText="1"/>
    </xf>
    <xf numFmtId="0" fontId="81" fillId="0" borderId="59" xfId="348" applyBorder="1" applyProtection="1"/>
    <xf numFmtId="0" fontId="81" fillId="0" borderId="93" xfId="348" applyFont="1" applyBorder="1" applyProtection="1"/>
    <xf numFmtId="0" fontId="81" fillId="0" borderId="31" xfId="348" applyFont="1" applyBorder="1" applyAlignment="1" applyProtection="1">
      <alignment horizontal="left" vertical="center" wrapText="1"/>
      <protection locked="0"/>
    </xf>
    <xf numFmtId="0" fontId="101" fillId="0" borderId="13" xfId="348" applyFont="1" applyBorder="1" applyAlignment="1" applyProtection="1">
      <alignment vertical="center" wrapText="1"/>
    </xf>
    <xf numFmtId="0" fontId="101" fillId="0" borderId="59" xfId="348" applyFont="1" applyBorder="1" applyAlignment="1" applyProtection="1">
      <alignment horizontal="center" vertical="center" wrapText="1"/>
    </xf>
    <xf numFmtId="0" fontId="81" fillId="25" borderId="49" xfId="349" applyFont="1" applyFill="1" applyBorder="1" applyAlignment="1" applyProtection="1">
      <alignment horizontal="center" vertical="center" wrapText="1"/>
      <protection locked="0"/>
    </xf>
    <xf numFmtId="0" fontId="74" fillId="0" borderId="94" xfId="203" applyFont="1" applyBorder="1" applyAlignment="1" applyProtection="1">
      <alignment horizontal="center" vertical="center" wrapText="1"/>
    </xf>
    <xf numFmtId="0" fontId="101" fillId="0" borderId="73" xfId="348" applyFont="1" applyBorder="1" applyAlignment="1" applyProtection="1">
      <alignment vertical="center" wrapText="1"/>
    </xf>
    <xf numFmtId="0" fontId="101" fillId="0" borderId="44" xfId="348" applyFont="1" applyBorder="1" applyAlignment="1" applyProtection="1">
      <alignment horizontal="center" vertical="center" wrapText="1"/>
    </xf>
    <xf numFmtId="0" fontId="81" fillId="25" borderId="60" xfId="349" applyFont="1" applyFill="1" applyBorder="1" applyAlignment="1" applyProtection="1">
      <alignment horizontal="center" vertical="center" wrapText="1"/>
      <protection locked="0"/>
    </xf>
    <xf numFmtId="0" fontId="103" fillId="28" borderId="76" xfId="348" applyFont="1" applyFill="1" applyBorder="1" applyAlignment="1" applyProtection="1">
      <alignment vertical="center" wrapText="1"/>
    </xf>
    <xf numFmtId="0" fontId="103" fillId="28" borderId="45" xfId="348" applyFont="1" applyFill="1" applyBorder="1" applyAlignment="1" applyProtection="1">
      <alignment horizontal="center" vertical="center" wrapText="1"/>
    </xf>
    <xf numFmtId="0" fontId="104" fillId="0" borderId="0" xfId="348" applyFont="1" applyAlignment="1" applyProtection="1">
      <alignment vertical="center"/>
    </xf>
    <xf numFmtId="0" fontId="101" fillId="0" borderId="0" xfId="348" applyFont="1" applyFill="1" applyBorder="1" applyAlignment="1" applyProtection="1">
      <alignment horizontal="left" vertical="top" wrapText="1"/>
    </xf>
    <xf numFmtId="0" fontId="81" fillId="0" borderId="0" xfId="348" applyFont="1" applyBorder="1" applyAlignment="1" applyProtection="1">
      <alignment horizontal="center" vertical="center"/>
    </xf>
    <xf numFmtId="0" fontId="81" fillId="0" borderId="0" xfId="348" applyAlignment="1" applyProtection="1">
      <alignment horizontal="center" vertical="center"/>
    </xf>
    <xf numFmtId="0" fontId="81" fillId="0" borderId="0" xfId="348" applyBorder="1" applyProtection="1"/>
    <xf numFmtId="0" fontId="79" fillId="0" borderId="0" xfId="348" applyFont="1" applyAlignment="1" applyProtection="1">
      <alignment horizontal="center"/>
    </xf>
    <xf numFmtId="0" fontId="79" fillId="0" borderId="0" xfId="348" applyFont="1" applyBorder="1" applyAlignment="1" applyProtection="1">
      <alignment horizontal="center"/>
    </xf>
    <xf numFmtId="0" fontId="79" fillId="0" borderId="0" xfId="348" applyFont="1" applyAlignment="1" applyProtection="1">
      <alignment horizontal="center" vertical="center"/>
    </xf>
    <xf numFmtId="0" fontId="100" fillId="35" borderId="36" xfId="348" applyFont="1" applyFill="1" applyBorder="1" applyAlignment="1" applyProtection="1">
      <alignment vertical="center" wrapText="1"/>
    </xf>
    <xf numFmtId="0" fontId="100" fillId="35" borderId="61" xfId="348" applyFont="1" applyFill="1" applyBorder="1" applyAlignment="1" applyProtection="1">
      <alignment vertical="center" wrapText="1"/>
    </xf>
    <xf numFmtId="0" fontId="100" fillId="35" borderId="38" xfId="348" applyFont="1" applyFill="1" applyBorder="1" applyAlignment="1" applyProtection="1">
      <alignment horizontal="center" vertical="center" wrapText="1"/>
    </xf>
    <xf numFmtId="0" fontId="100" fillId="35" borderId="72" xfId="348" applyFont="1" applyFill="1" applyBorder="1" applyAlignment="1" applyProtection="1">
      <alignment horizontal="center" vertical="center" wrapText="1"/>
    </xf>
    <xf numFmtId="0" fontId="81" fillId="0" borderId="31" xfId="348" applyFont="1" applyBorder="1" applyAlignment="1" applyProtection="1">
      <alignment vertical="center"/>
    </xf>
    <xf numFmtId="0" fontId="101" fillId="0" borderId="43" xfId="348" applyFont="1" applyBorder="1" applyAlignment="1" applyProtection="1">
      <alignment vertical="center" wrapText="1"/>
    </xf>
    <xf numFmtId="0" fontId="81" fillId="0" borderId="0" xfId="348" applyFont="1" applyProtection="1">
      <protection locked="0"/>
    </xf>
    <xf numFmtId="0" fontId="81" fillId="25" borderId="66" xfId="349" applyFont="1" applyFill="1" applyBorder="1" applyAlignment="1" applyProtection="1">
      <alignment horizontal="center" vertical="center" wrapText="1"/>
      <protection locked="0"/>
    </xf>
    <xf numFmtId="0" fontId="103" fillId="28" borderId="75" xfId="348" applyFont="1" applyFill="1" applyBorder="1" applyAlignment="1" applyProtection="1">
      <alignment vertical="center" wrapText="1"/>
    </xf>
    <xf numFmtId="0" fontId="13" fillId="0" borderId="0" xfId="203" applyAlignment="1"/>
    <xf numFmtId="0" fontId="79" fillId="0" borderId="0" xfId="348" applyFont="1" applyBorder="1" applyAlignment="1" applyProtection="1">
      <alignment horizontal="left" vertical="center"/>
    </xf>
    <xf numFmtId="0" fontId="81" fillId="0" borderId="0" xfId="348" applyFont="1" applyAlignment="1" applyProtection="1">
      <alignment horizontal="left" vertical="center" wrapText="1"/>
    </xf>
    <xf numFmtId="0" fontId="81" fillId="0" borderId="53" xfId="348" applyFont="1" applyBorder="1" applyAlignment="1" applyProtection="1">
      <alignment vertical="center" wrapText="1"/>
    </xf>
    <xf numFmtId="0" fontId="79" fillId="0" borderId="0" xfId="348" applyFont="1" applyBorder="1" applyAlignment="1" applyProtection="1">
      <alignment horizontal="center" vertical="center"/>
    </xf>
    <xf numFmtId="0" fontId="79" fillId="0" borderId="0" xfId="348" applyFont="1" applyBorder="1" applyAlignment="1" applyProtection="1">
      <alignment vertical="center"/>
    </xf>
    <xf numFmtId="0" fontId="81" fillId="0" borderId="0" xfId="348" applyFont="1" applyAlignment="1" applyProtection="1">
      <alignment vertical="center" wrapText="1"/>
    </xf>
    <xf numFmtId="0" fontId="74" fillId="38" borderId="110" xfId="348" applyFont="1" applyFill="1" applyBorder="1" applyAlignment="1" applyProtection="1">
      <alignment horizontal="center" vertical="center" wrapText="1"/>
    </xf>
    <xf numFmtId="0" fontId="74" fillId="38" borderId="72" xfId="348" applyFont="1" applyFill="1" applyBorder="1" applyAlignment="1" applyProtection="1">
      <alignment vertical="center" wrapText="1"/>
    </xf>
    <xf numFmtId="0" fontId="81" fillId="0" borderId="31" xfId="348" applyFont="1" applyBorder="1" applyAlignment="1" applyProtection="1">
      <alignment vertical="center" wrapText="1"/>
    </xf>
    <xf numFmtId="0" fontId="100" fillId="0" borderId="77" xfId="348" applyFont="1" applyBorder="1" applyAlignment="1" applyProtection="1">
      <alignment vertical="center" wrapText="1"/>
    </xf>
    <xf numFmtId="0" fontId="81" fillId="0" borderId="92" xfId="348" applyFont="1" applyBorder="1" applyAlignment="1" applyProtection="1">
      <alignment vertical="center" wrapText="1"/>
      <protection locked="0"/>
    </xf>
    <xf numFmtId="0" fontId="101" fillId="0" borderId="83" xfId="348" applyFont="1" applyBorder="1" applyAlignment="1" applyProtection="1">
      <alignment horizontal="left" vertical="center" wrapText="1"/>
    </xf>
    <xf numFmtId="0" fontId="81" fillId="0" borderId="28" xfId="348" applyFont="1" applyBorder="1" applyAlignment="1" applyProtection="1">
      <alignment vertical="center" wrapText="1"/>
      <protection locked="0"/>
    </xf>
    <xf numFmtId="0" fontId="101" fillId="0" borderId="0" xfId="348" applyFont="1" applyAlignment="1" applyProtection="1">
      <alignment horizontal="left" vertical="center" wrapText="1"/>
    </xf>
    <xf numFmtId="0" fontId="81" fillId="0" borderId="30" xfId="348" applyFont="1" applyBorder="1" applyAlignment="1" applyProtection="1">
      <alignment vertical="center" wrapText="1"/>
      <protection locked="0"/>
    </xf>
    <xf numFmtId="0" fontId="81" fillId="0" borderId="83" xfId="348" applyFont="1" applyBorder="1" applyAlignment="1" applyProtection="1">
      <alignment horizontal="left" vertical="center" wrapText="1"/>
    </xf>
    <xf numFmtId="0" fontId="81" fillId="0" borderId="48" xfId="348" applyFont="1" applyBorder="1" applyAlignment="1" applyProtection="1">
      <alignment horizontal="center" vertical="center" wrapText="1"/>
    </xf>
    <xf numFmtId="0" fontId="81" fillId="25" borderId="66" xfId="349" applyFont="1" applyFill="1" applyBorder="1" applyAlignment="1" applyProtection="1">
      <alignment vertical="center" wrapText="1"/>
    </xf>
    <xf numFmtId="0" fontId="81" fillId="0" borderId="114" xfId="348" applyFont="1" applyBorder="1" applyAlignment="1" applyProtection="1">
      <alignment horizontal="center" vertical="center" wrapText="1"/>
    </xf>
    <xf numFmtId="0" fontId="101" fillId="0" borderId="90" xfId="348" applyFont="1" applyBorder="1" applyAlignment="1" applyProtection="1">
      <alignment vertical="center" wrapText="1"/>
    </xf>
    <xf numFmtId="0" fontId="81" fillId="0" borderId="88" xfId="348" applyFont="1" applyBorder="1" applyAlignment="1" applyProtection="1">
      <alignment horizontal="center" vertical="center" wrapText="1"/>
    </xf>
    <xf numFmtId="0" fontId="101" fillId="0" borderId="31" xfId="348" applyFont="1" applyBorder="1" applyAlignment="1" applyProtection="1">
      <alignment vertical="center" wrapText="1"/>
    </xf>
    <xf numFmtId="0" fontId="81" fillId="0" borderId="44" xfId="348" applyFont="1" applyBorder="1" applyAlignment="1" applyProtection="1">
      <alignment horizontal="center" vertical="center" wrapText="1"/>
    </xf>
    <xf numFmtId="0" fontId="81" fillId="0" borderId="13" xfId="348" applyFont="1" applyBorder="1" applyAlignment="1" applyProtection="1">
      <alignment vertical="center" wrapText="1"/>
      <protection locked="0"/>
    </xf>
    <xf numFmtId="0" fontId="81" fillId="25" borderId="77" xfId="349" applyFont="1" applyFill="1" applyBorder="1" applyAlignment="1" applyProtection="1">
      <alignment horizontal="center" vertical="center" wrapText="1"/>
      <protection locked="0"/>
    </xf>
    <xf numFmtId="0" fontId="81" fillId="0" borderId="43" xfId="348" applyFont="1" applyBorder="1" applyAlignment="1" applyProtection="1">
      <alignment vertical="center" wrapText="1"/>
      <protection locked="0"/>
    </xf>
    <xf numFmtId="0" fontId="100" fillId="0" borderId="31" xfId="348" applyFont="1" applyBorder="1" applyAlignment="1" applyProtection="1">
      <alignment vertical="center" wrapText="1"/>
    </xf>
    <xf numFmtId="0" fontId="81" fillId="25" borderId="39" xfId="349" applyFont="1" applyFill="1" applyBorder="1" applyAlignment="1" applyProtection="1">
      <alignment horizontal="center" vertical="center" wrapText="1"/>
      <protection locked="0"/>
    </xf>
    <xf numFmtId="0" fontId="79" fillId="28" borderId="46" xfId="348" applyFont="1" applyFill="1" applyBorder="1" applyAlignment="1" applyProtection="1">
      <alignment horizontal="center" vertical="center" wrapText="1"/>
    </xf>
    <xf numFmtId="0" fontId="79" fillId="28" borderId="69" xfId="348" applyFont="1" applyFill="1" applyBorder="1" applyAlignment="1" applyProtection="1">
      <alignment horizontal="center" vertical="center" wrapText="1"/>
    </xf>
    <xf numFmtId="0" fontId="79" fillId="0" borderId="0" xfId="348" applyFont="1" applyAlignment="1" applyProtection="1">
      <alignment vertical="center" wrapText="1"/>
    </xf>
    <xf numFmtId="0" fontId="74" fillId="0" borderId="0" xfId="348" applyFont="1" applyAlignment="1" applyProtection="1">
      <alignment vertical="center" wrapText="1"/>
    </xf>
    <xf numFmtId="0" fontId="81" fillId="0" borderId="0" xfId="348" applyFont="1" applyAlignment="1" applyProtection="1">
      <alignment wrapText="1"/>
    </xf>
    <xf numFmtId="0" fontId="81" fillId="0" borderId="0" xfId="348" applyFont="1" applyAlignment="1" applyProtection="1">
      <alignment horizontal="center" wrapText="1"/>
    </xf>
    <xf numFmtId="0" fontId="81" fillId="0" borderId="43" xfId="0" applyFont="1" applyBorder="1" applyAlignment="1" applyProtection="1">
      <alignment horizontal="center" vertical="center"/>
    </xf>
    <xf numFmtId="164" fontId="81" fillId="0" borderId="13" xfId="0" applyNumberFormat="1" applyFont="1" applyBorder="1" applyAlignment="1" applyProtection="1">
      <alignment horizontal="center" vertical="center"/>
    </xf>
    <xf numFmtId="49" fontId="81" fillId="0" borderId="13" xfId="0" applyNumberFormat="1" applyFont="1" applyBorder="1" applyAlignment="1" applyProtection="1">
      <alignment horizontal="left" vertical="center" wrapText="1"/>
    </xf>
    <xf numFmtId="0" fontId="100" fillId="0" borderId="13" xfId="0" applyFont="1" applyFill="1" applyBorder="1" applyAlignment="1" applyProtection="1">
      <alignment vertical="center" wrapText="1"/>
    </xf>
    <xf numFmtId="0" fontId="74" fillId="0" borderId="64" xfId="0" applyNumberFormat="1" applyFont="1" applyFill="1" applyBorder="1" applyAlignment="1" applyProtection="1">
      <alignment horizontal="center" vertical="center" wrapText="1"/>
    </xf>
    <xf numFmtId="0" fontId="28" fillId="0" borderId="64" xfId="0" applyNumberFormat="1" applyFont="1" applyBorder="1" applyAlignment="1">
      <alignment horizontal="center" vertical="center" wrapText="1"/>
    </xf>
    <xf numFmtId="0" fontId="74" fillId="38" borderId="103" xfId="348" applyFont="1" applyFill="1" applyBorder="1" applyAlignment="1" applyProtection="1">
      <alignment vertical="center" wrapText="1"/>
    </xf>
    <xf numFmtId="0" fontId="81" fillId="0" borderId="77" xfId="348" applyFont="1" applyBorder="1" applyAlignment="1" applyProtection="1">
      <alignment horizontal="left" vertical="center" wrapText="1"/>
    </xf>
    <xf numFmtId="0" fontId="81" fillId="0" borderId="43" xfId="348" applyFont="1" applyBorder="1" applyAlignment="1" applyProtection="1">
      <alignment horizontal="left" vertical="center" wrapText="1"/>
    </xf>
    <xf numFmtId="0" fontId="0" fillId="0" borderId="30" xfId="0" applyBorder="1"/>
    <xf numFmtId="0" fontId="74" fillId="38" borderId="36" xfId="348" applyFont="1" applyFill="1" applyBorder="1" applyAlignment="1" applyProtection="1">
      <alignment vertical="center" wrapText="1"/>
    </xf>
    <xf numFmtId="0" fontId="74" fillId="38" borderId="61" xfId="348" applyFont="1" applyFill="1" applyBorder="1" applyAlignment="1" applyProtection="1">
      <alignment horizontal="center" vertical="center" wrapText="1"/>
    </xf>
    <xf numFmtId="0" fontId="74" fillId="38" borderId="42" xfId="348" applyFont="1" applyFill="1" applyBorder="1" applyAlignment="1" applyProtection="1">
      <alignment vertical="center" wrapText="1"/>
    </xf>
    <xf numFmtId="0" fontId="74" fillId="0" borderId="31" xfId="348" applyFont="1" applyBorder="1" applyAlignment="1" applyProtection="1">
      <alignment horizontal="left" vertical="center" wrapText="1"/>
    </xf>
    <xf numFmtId="0" fontId="108" fillId="0" borderId="13" xfId="0" applyFont="1" applyBorder="1" applyAlignment="1">
      <alignment vertical="center" wrapText="1"/>
    </xf>
    <xf numFmtId="0" fontId="13" fillId="25" borderId="74" xfId="0" applyFont="1" applyFill="1" applyBorder="1" applyAlignment="1">
      <alignment horizontal="center" vertical="center"/>
    </xf>
    <xf numFmtId="0" fontId="81" fillId="0" borderId="65" xfId="203" applyFont="1" applyFill="1" applyBorder="1" applyAlignment="1">
      <alignment vertical="center" wrapText="1"/>
    </xf>
    <xf numFmtId="0" fontId="13" fillId="25" borderId="47" xfId="0" applyFont="1" applyFill="1" applyBorder="1" applyAlignment="1">
      <alignment horizontal="center" vertical="center"/>
    </xf>
    <xf numFmtId="0" fontId="13" fillId="0" borderId="92" xfId="203" applyFont="1" applyBorder="1" applyAlignment="1">
      <alignment horizontal="center" vertical="center" wrapText="1"/>
    </xf>
    <xf numFmtId="0" fontId="13" fillId="0" borderId="30" xfId="203" applyFont="1" applyBorder="1" applyAlignment="1">
      <alignment horizontal="center" vertical="center" wrapText="1"/>
    </xf>
    <xf numFmtId="0" fontId="13" fillId="0" borderId="44" xfId="203" applyFont="1" applyFill="1" applyBorder="1" applyAlignment="1">
      <alignment horizontal="center" vertical="center" wrapText="1"/>
    </xf>
    <xf numFmtId="0" fontId="25" fillId="0" borderId="66" xfId="203" applyFont="1" applyBorder="1" applyAlignment="1">
      <alignment vertical="center"/>
    </xf>
    <xf numFmtId="0" fontId="13" fillId="25" borderId="66" xfId="97" applyFont="1" applyFill="1" applyBorder="1" applyAlignment="1">
      <alignment horizontal="center" vertical="center"/>
    </xf>
    <xf numFmtId="0" fontId="13" fillId="0" borderId="30" xfId="203" applyFont="1" applyBorder="1" applyAlignment="1">
      <alignment vertical="center" wrapText="1"/>
    </xf>
    <xf numFmtId="0" fontId="13" fillId="0" borderId="67" xfId="203" applyFont="1" applyBorder="1" applyAlignment="1">
      <alignment horizontal="center" vertical="center" wrapText="1"/>
    </xf>
    <xf numFmtId="0" fontId="81" fillId="0" borderId="30" xfId="203" applyFont="1" applyBorder="1" applyAlignment="1">
      <alignment vertical="center" wrapText="1"/>
    </xf>
    <xf numFmtId="0" fontId="81" fillId="0" borderId="48" xfId="203" applyFont="1" applyBorder="1" applyAlignment="1">
      <alignment horizontal="center" vertical="center" wrapText="1"/>
    </xf>
    <xf numFmtId="0" fontId="81" fillId="0" borderId="120" xfId="203" applyFont="1" applyBorder="1" applyAlignment="1">
      <alignment horizontal="center" vertical="center" wrapText="1"/>
    </xf>
    <xf numFmtId="0" fontId="13" fillId="0" borderId="114" xfId="203" applyFont="1" applyBorder="1" applyAlignment="1">
      <alignment horizontal="center" vertical="center" wrapText="1"/>
    </xf>
    <xf numFmtId="0" fontId="81" fillId="0" borderId="65" xfId="203" applyFont="1" applyBorder="1" applyAlignment="1">
      <alignment vertical="center" wrapText="1"/>
    </xf>
    <xf numFmtId="0" fontId="81" fillId="0" borderId="67" xfId="203" applyFont="1" applyBorder="1" applyAlignment="1">
      <alignment horizontal="center" vertical="center" wrapText="1"/>
    </xf>
    <xf numFmtId="0" fontId="81" fillId="0" borderId="29" xfId="203" applyFont="1" applyBorder="1" applyAlignment="1">
      <alignment horizontal="center" vertical="center"/>
    </xf>
    <xf numFmtId="0" fontId="81" fillId="0" borderId="48" xfId="203" applyFont="1" applyBorder="1" applyAlignment="1">
      <alignment horizontal="left" vertical="center" wrapText="1"/>
    </xf>
    <xf numFmtId="0" fontId="81" fillId="0" borderId="67" xfId="203" applyFont="1" applyBorder="1" applyAlignment="1">
      <alignment vertical="center" wrapText="1"/>
    </xf>
    <xf numFmtId="0" fontId="13" fillId="0" borderId="92" xfId="203" applyFont="1" applyBorder="1" applyAlignment="1">
      <alignment vertical="center" wrapText="1"/>
    </xf>
    <xf numFmtId="0" fontId="13" fillId="25" borderId="122" xfId="0" applyFont="1" applyFill="1" applyBorder="1" applyAlignment="1">
      <alignment horizontal="center" vertical="center"/>
    </xf>
    <xf numFmtId="0" fontId="101" fillId="0" borderId="73" xfId="348" applyFont="1" applyBorder="1" applyAlignment="1" applyProtection="1">
      <alignment horizontal="left" vertical="center" wrapText="1"/>
    </xf>
    <xf numFmtId="0" fontId="81" fillId="0" borderId="83" xfId="203" applyFont="1" applyBorder="1" applyAlignment="1">
      <alignment vertical="center" wrapText="1"/>
    </xf>
    <xf numFmtId="0" fontId="74" fillId="0" borderId="83" xfId="203" applyFont="1" applyBorder="1" applyAlignment="1">
      <alignment vertical="center" wrapText="1"/>
    </xf>
    <xf numFmtId="0" fontId="23" fillId="0" borderId="0" xfId="0" applyFont="1" applyAlignment="1">
      <alignment horizontal="left" wrapText="1"/>
    </xf>
    <xf numFmtId="0" fontId="24" fillId="24" borderId="12" xfId="0" applyFont="1" applyFill="1" applyBorder="1" applyAlignment="1">
      <alignment horizontal="left" vertical="center" wrapText="1"/>
    </xf>
    <xf numFmtId="0" fontId="24" fillId="27" borderId="12" xfId="0" applyFont="1" applyFill="1" applyBorder="1" applyAlignment="1">
      <alignment horizontal="left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1" fontId="29" fillId="0" borderId="14" xfId="0" applyNumberFormat="1" applyFont="1" applyBorder="1" applyAlignment="1">
      <alignment horizontal="center" vertical="center"/>
    </xf>
    <xf numFmtId="1" fontId="29" fillId="0" borderId="16" xfId="0" applyNumberFormat="1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center" vertical="center"/>
    </xf>
    <xf numFmtId="164" fontId="24" fillId="0" borderId="15" xfId="0" applyNumberFormat="1" applyFont="1" applyBorder="1" applyAlignment="1">
      <alignment horizontal="center" vertical="center"/>
    </xf>
    <xf numFmtId="164" fontId="24" fillId="0" borderId="16" xfId="0" applyNumberFormat="1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8" fillId="0" borderId="0" xfId="0" applyFont="1" applyAlignment="1">
      <alignment horizontal="center" textRotation="90" wrapText="1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0" fontId="0" fillId="0" borderId="0" xfId="0"/>
    <xf numFmtId="0" fontId="81" fillId="0" borderId="95" xfId="203" applyFont="1" applyBorder="1" applyAlignment="1">
      <alignment horizontal="center" vertical="center" wrapText="1"/>
    </xf>
    <xf numFmtId="0" fontId="81" fillId="0" borderId="39" xfId="203" applyFont="1" applyBorder="1" applyAlignment="1">
      <alignment horizontal="center" vertical="center" wrapText="1"/>
    </xf>
    <xf numFmtId="0" fontId="13" fillId="25" borderId="74" xfId="97" applyFont="1" applyFill="1" applyBorder="1" applyAlignment="1">
      <alignment horizontal="center" vertical="center"/>
    </xf>
    <xf numFmtId="0" fontId="13" fillId="25" borderId="66" xfId="97" applyFont="1" applyFill="1" applyBorder="1" applyAlignment="1">
      <alignment horizontal="center" vertical="center"/>
    </xf>
    <xf numFmtId="0" fontId="81" fillId="0" borderId="65" xfId="203" applyFont="1" applyBorder="1" applyAlignment="1">
      <alignment horizontal="center" vertical="center" wrapText="1"/>
    </xf>
    <xf numFmtId="0" fontId="13" fillId="0" borderId="67" xfId="203" applyFont="1" applyBorder="1" applyAlignment="1">
      <alignment horizontal="center" vertical="center" wrapText="1"/>
    </xf>
    <xf numFmtId="0" fontId="13" fillId="0" borderId="78" xfId="203" applyFont="1" applyBorder="1" applyAlignment="1">
      <alignment horizontal="center" vertical="center"/>
    </xf>
    <xf numFmtId="0" fontId="13" fillId="0" borderId="95" xfId="203" applyFont="1" applyBorder="1" applyAlignment="1">
      <alignment horizontal="center" vertical="center"/>
    </xf>
    <xf numFmtId="0" fontId="13" fillId="0" borderId="123" xfId="203" applyFont="1" applyBorder="1" applyAlignment="1">
      <alignment horizontal="center" vertical="center" wrapText="1"/>
    </xf>
    <xf numFmtId="0" fontId="13" fillId="0" borderId="60" xfId="203" applyFont="1" applyBorder="1" applyAlignment="1">
      <alignment horizontal="center" vertical="center" wrapText="1"/>
    </xf>
    <xf numFmtId="0" fontId="28" fillId="35" borderId="61" xfId="203" applyFont="1" applyFill="1" applyBorder="1" applyAlignment="1">
      <alignment horizontal="center" vertical="center" wrapText="1"/>
    </xf>
    <xf numFmtId="0" fontId="28" fillId="35" borderId="57" xfId="203" applyFont="1" applyFill="1" applyBorder="1" applyAlignment="1">
      <alignment horizontal="center" vertical="center" wrapText="1"/>
    </xf>
    <xf numFmtId="0" fontId="13" fillId="0" borderId="78" xfId="203" applyFont="1" applyBorder="1" applyAlignment="1">
      <alignment horizontal="center" vertical="center" wrapText="1"/>
    </xf>
    <xf numFmtId="0" fontId="13" fillId="0" borderId="95" xfId="203" applyFont="1" applyBorder="1" applyAlignment="1">
      <alignment horizontal="center" vertical="center" wrapText="1"/>
    </xf>
    <xf numFmtId="0" fontId="13" fillId="0" borderId="48" xfId="203" applyFont="1" applyBorder="1" applyAlignment="1">
      <alignment horizontal="center" vertical="center" wrapText="1"/>
    </xf>
    <xf numFmtId="0" fontId="13" fillId="0" borderId="39" xfId="203" applyFont="1" applyBorder="1" applyAlignment="1">
      <alignment horizontal="center" vertical="center" wrapText="1"/>
    </xf>
    <xf numFmtId="0" fontId="13" fillId="25" borderId="82" xfId="97" applyFont="1" applyFill="1" applyBorder="1" applyAlignment="1">
      <alignment horizontal="center" vertical="center"/>
    </xf>
    <xf numFmtId="0" fontId="13" fillId="25" borderId="84" xfId="97" applyFont="1" applyFill="1" applyBorder="1" applyAlignment="1">
      <alignment horizontal="center" vertical="center"/>
    </xf>
    <xf numFmtId="0" fontId="13" fillId="25" borderId="86" xfId="97" applyFont="1" applyFill="1" applyBorder="1" applyAlignment="1">
      <alignment horizontal="center" vertical="center"/>
    </xf>
    <xf numFmtId="0" fontId="13" fillId="25" borderId="87" xfId="97" applyFont="1" applyFill="1" applyBorder="1" applyAlignment="1">
      <alignment horizontal="center" vertical="center"/>
    </xf>
    <xf numFmtId="0" fontId="26" fillId="0" borderId="0" xfId="203" applyFont="1" applyAlignment="1">
      <alignment horizontal="left" vertical="center"/>
    </xf>
    <xf numFmtId="0" fontId="13" fillId="0" borderId="77" xfId="203" applyFont="1" applyBorder="1" applyAlignment="1">
      <alignment horizontal="center" vertical="center" wrapText="1"/>
    </xf>
    <xf numFmtId="0" fontId="13" fillId="0" borderId="83" xfId="203" applyFont="1" applyBorder="1" applyAlignment="1">
      <alignment horizontal="center" vertical="center" wrapText="1"/>
    </xf>
    <xf numFmtId="0" fontId="13" fillId="0" borderId="80" xfId="203" applyFont="1" applyBorder="1" applyAlignment="1">
      <alignment horizontal="center" vertical="center" wrapText="1"/>
    </xf>
    <xf numFmtId="0" fontId="13" fillId="0" borderId="48" xfId="203" applyFont="1" applyBorder="1" applyAlignment="1">
      <alignment horizontal="center" vertical="center"/>
    </xf>
    <xf numFmtId="0" fontId="13" fillId="0" borderId="39" xfId="203" applyFont="1" applyBorder="1" applyAlignment="1">
      <alignment horizontal="center" vertical="center"/>
    </xf>
    <xf numFmtId="0" fontId="28" fillId="0" borderId="77" xfId="203" applyFont="1" applyBorder="1" applyAlignment="1">
      <alignment horizontal="left" vertical="center" wrapText="1"/>
    </xf>
    <xf numFmtId="0" fontId="28" fillId="0" borderId="83" xfId="203" applyFont="1" applyBorder="1" applyAlignment="1">
      <alignment horizontal="left" vertical="center" wrapText="1"/>
    </xf>
    <xf numFmtId="0" fontId="28" fillId="0" borderId="90" xfId="203" applyFont="1" applyBorder="1" applyAlignment="1">
      <alignment horizontal="left" vertical="center" wrapText="1"/>
    </xf>
    <xf numFmtId="0" fontId="13" fillId="0" borderId="65" xfId="203" applyFont="1" applyBorder="1" applyAlignment="1">
      <alignment vertical="center" wrapText="1"/>
    </xf>
    <xf numFmtId="0" fontId="13" fillId="0" borderId="67" xfId="203" applyFont="1" applyBorder="1" applyAlignment="1">
      <alignment vertical="center" wrapText="1"/>
    </xf>
    <xf numFmtId="0" fontId="13" fillId="0" borderId="29" xfId="203" applyFont="1" applyBorder="1" applyAlignment="1">
      <alignment vertical="center" wrapText="1"/>
    </xf>
    <xf numFmtId="0" fontId="81" fillId="25" borderId="78" xfId="203" applyFont="1" applyFill="1" applyBorder="1" applyAlignment="1">
      <alignment vertical="center" wrapText="1"/>
    </xf>
    <xf numFmtId="0" fontId="13" fillId="25" borderId="92" xfId="203" applyFont="1" applyFill="1" applyBorder="1" applyAlignment="1">
      <alignment vertical="center" wrapText="1"/>
    </xf>
    <xf numFmtId="0" fontId="81" fillId="0" borderId="65" xfId="203" applyFont="1" applyFill="1" applyBorder="1" applyAlignment="1">
      <alignment horizontal="left" vertical="center" wrapText="1"/>
    </xf>
    <xf numFmtId="0" fontId="81" fillId="0" borderId="67" xfId="203" applyFont="1" applyFill="1" applyBorder="1" applyAlignment="1">
      <alignment horizontal="left" vertical="center" wrapText="1"/>
    </xf>
    <xf numFmtId="0" fontId="81" fillId="0" borderId="29" xfId="203" applyFont="1" applyFill="1" applyBorder="1" applyAlignment="1">
      <alignment horizontal="left" vertical="center" wrapText="1"/>
    </xf>
    <xf numFmtId="0" fontId="13" fillId="25" borderId="66" xfId="0" applyFont="1" applyFill="1" applyBorder="1" applyAlignment="1">
      <alignment horizontal="center" vertical="center"/>
    </xf>
    <xf numFmtId="0" fontId="13" fillId="25" borderId="47" xfId="0" applyFont="1" applyFill="1" applyBorder="1" applyAlignment="1">
      <alignment horizontal="center" vertical="center"/>
    </xf>
    <xf numFmtId="0" fontId="79" fillId="0" borderId="0" xfId="203" applyFont="1" applyAlignment="1">
      <alignment horizontal="left" vertical="center"/>
    </xf>
    <xf numFmtId="0" fontId="81" fillId="0" borderId="65" xfId="203" applyFont="1" applyBorder="1" applyAlignment="1">
      <alignment vertical="center" wrapText="1"/>
    </xf>
    <xf numFmtId="0" fontId="13" fillId="0" borderId="112" xfId="203" applyFont="1" applyBorder="1" applyAlignment="1">
      <alignment vertical="center" wrapText="1"/>
    </xf>
    <xf numFmtId="0" fontId="81" fillId="25" borderId="78" xfId="203" applyFont="1" applyFill="1" applyBorder="1" applyAlignment="1">
      <alignment horizontal="left" vertical="center" wrapText="1"/>
    </xf>
    <xf numFmtId="0" fontId="81" fillId="25" borderId="92" xfId="203" applyFont="1" applyFill="1" applyBorder="1" applyAlignment="1">
      <alignment horizontal="left" vertical="center" wrapText="1"/>
    </xf>
    <xf numFmtId="0" fontId="81" fillId="0" borderId="29" xfId="203" applyFont="1" applyBorder="1" applyAlignment="1">
      <alignment horizontal="center" vertical="center" wrapText="1"/>
    </xf>
    <xf numFmtId="0" fontId="13" fillId="0" borderId="91" xfId="203" applyFont="1" applyBorder="1" applyAlignment="1">
      <alignment horizontal="center" vertical="center" wrapText="1"/>
    </xf>
    <xf numFmtId="0" fontId="13" fillId="0" borderId="114" xfId="203" applyFont="1" applyBorder="1" applyAlignment="1">
      <alignment horizontal="center" vertical="center" wrapText="1"/>
    </xf>
    <xf numFmtId="0" fontId="13" fillId="0" borderId="88" xfId="203" applyFont="1" applyBorder="1" applyAlignment="1">
      <alignment horizontal="center" vertical="center" wrapText="1"/>
    </xf>
    <xf numFmtId="0" fontId="13" fillId="0" borderId="113" xfId="203" applyFont="1" applyBorder="1" applyAlignment="1">
      <alignment horizontal="center" vertical="center" wrapText="1"/>
    </xf>
    <xf numFmtId="0" fontId="13" fillId="25" borderId="74" xfId="0" applyFont="1" applyFill="1" applyBorder="1" applyAlignment="1">
      <alignment horizontal="center" vertical="center" wrapText="1"/>
    </xf>
    <xf numFmtId="0" fontId="13" fillId="25" borderId="66" xfId="0" applyFont="1" applyFill="1" applyBorder="1" applyAlignment="1">
      <alignment horizontal="center" vertical="center" wrapText="1"/>
    </xf>
    <xf numFmtId="0" fontId="13" fillId="25" borderId="47" xfId="0" applyFont="1" applyFill="1" applyBorder="1" applyAlignment="1">
      <alignment horizontal="center" vertical="center" wrapText="1"/>
    </xf>
    <xf numFmtId="0" fontId="13" fillId="25" borderId="74" xfId="0" applyFont="1" applyFill="1" applyBorder="1" applyAlignment="1">
      <alignment horizontal="center" vertical="center"/>
    </xf>
    <xf numFmtId="0" fontId="81" fillId="0" borderId="67" xfId="203" applyFont="1" applyBorder="1" applyAlignment="1">
      <alignment vertical="center" wrapText="1"/>
    </xf>
    <xf numFmtId="0" fontId="81" fillId="0" borderId="121" xfId="203" applyFont="1" applyBorder="1" applyAlignment="1">
      <alignment horizontal="center" vertical="center" wrapText="1"/>
    </xf>
    <xf numFmtId="0" fontId="13" fillId="0" borderId="29" xfId="203" applyFont="1" applyBorder="1" applyAlignment="1">
      <alignment horizontal="center" vertical="center" wrapText="1"/>
    </xf>
    <xf numFmtId="0" fontId="81" fillId="25" borderId="48" xfId="203" applyFont="1" applyFill="1" applyBorder="1" applyAlignment="1">
      <alignment horizontal="left" vertical="center" wrapText="1"/>
    </xf>
    <xf numFmtId="0" fontId="13" fillId="25" borderId="28" xfId="203" applyFont="1" applyFill="1" applyBorder="1" applyAlignment="1">
      <alignment horizontal="left" vertical="center" wrapText="1"/>
    </xf>
    <xf numFmtId="0" fontId="81" fillId="25" borderId="113" xfId="203" applyFont="1" applyFill="1" applyBorder="1" applyAlignment="1">
      <alignment horizontal="left" vertical="center" wrapText="1"/>
    </xf>
    <xf numFmtId="0" fontId="13" fillId="25" borderId="30" xfId="203" applyFont="1" applyFill="1" applyBorder="1" applyAlignment="1">
      <alignment horizontal="left" vertical="center" wrapText="1"/>
    </xf>
    <xf numFmtId="0" fontId="81" fillId="25" borderId="28" xfId="203" applyFont="1" applyFill="1" applyBorder="1" applyAlignment="1">
      <alignment horizontal="left" vertical="center" wrapText="1"/>
    </xf>
    <xf numFmtId="0" fontId="13" fillId="25" borderId="91" xfId="203" applyFont="1" applyFill="1" applyBorder="1" applyAlignment="1">
      <alignment horizontal="center" vertical="center" wrapText="1"/>
    </xf>
    <xf numFmtId="0" fontId="13" fillId="25" borderId="114" xfId="203" applyFont="1" applyFill="1" applyBorder="1" applyAlignment="1">
      <alignment horizontal="center" vertical="center" wrapText="1"/>
    </xf>
    <xf numFmtId="0" fontId="13" fillId="25" borderId="88" xfId="203" applyFont="1" applyFill="1" applyBorder="1" applyAlignment="1">
      <alignment horizontal="center" vertical="center" wrapText="1"/>
    </xf>
    <xf numFmtId="0" fontId="13" fillId="25" borderId="73" xfId="203" applyFont="1" applyFill="1" applyBorder="1" applyAlignment="1">
      <alignment vertical="center" wrapText="1"/>
    </xf>
    <xf numFmtId="0" fontId="13" fillId="25" borderId="31" xfId="203" applyFont="1" applyFill="1" applyBorder="1" applyAlignment="1">
      <alignment vertical="center" wrapText="1"/>
    </xf>
    <xf numFmtId="0" fontId="13" fillId="0" borderId="74" xfId="203" applyFont="1" applyBorder="1" applyAlignment="1">
      <alignment horizontal="center" vertical="center"/>
    </xf>
    <xf numFmtId="0" fontId="13" fillId="0" borderId="66" xfId="203" applyFont="1" applyBorder="1" applyAlignment="1">
      <alignment horizontal="center" vertical="center"/>
    </xf>
    <xf numFmtId="0" fontId="13" fillId="0" borderId="47" xfId="203" applyFont="1" applyBorder="1" applyAlignment="1">
      <alignment horizontal="center" vertical="center"/>
    </xf>
    <xf numFmtId="0" fontId="13" fillId="0" borderId="92" xfId="203" applyFont="1" applyBorder="1" applyAlignment="1">
      <alignment horizontal="center" vertical="center" wrapText="1"/>
    </xf>
    <xf numFmtId="0" fontId="13" fillId="0" borderId="28" xfId="203" applyFont="1" applyBorder="1" applyAlignment="1">
      <alignment horizontal="center" vertical="center" wrapText="1"/>
    </xf>
    <xf numFmtId="0" fontId="13" fillId="0" borderId="30" xfId="203" applyFont="1" applyBorder="1" applyAlignment="1">
      <alignment horizontal="center" vertical="center" wrapText="1"/>
    </xf>
    <xf numFmtId="0" fontId="81" fillId="25" borderId="113" xfId="203" applyFont="1" applyFill="1" applyBorder="1" applyAlignment="1">
      <alignment horizontal="left" vertical="center"/>
    </xf>
    <xf numFmtId="0" fontId="81" fillId="25" borderId="30" xfId="203" applyFont="1" applyFill="1" applyBorder="1" applyAlignment="1">
      <alignment horizontal="left" vertical="center"/>
    </xf>
    <xf numFmtId="0" fontId="81" fillId="25" borderId="48" xfId="203" applyFont="1" applyFill="1" applyBorder="1" applyAlignment="1">
      <alignment vertical="center" wrapText="1"/>
    </xf>
    <xf numFmtId="0" fontId="13" fillId="25" borderId="28" xfId="203" applyFont="1" applyFill="1" applyBorder="1" applyAlignment="1">
      <alignment vertical="center" wrapText="1"/>
    </xf>
    <xf numFmtId="0" fontId="81" fillId="25" borderId="113" xfId="203" applyFont="1" applyFill="1" applyBorder="1" applyAlignment="1">
      <alignment vertical="center" wrapText="1"/>
    </xf>
    <xf numFmtId="0" fontId="13" fillId="25" borderId="30" xfId="203" applyFont="1" applyFill="1" applyBorder="1" applyAlignment="1">
      <alignment vertical="center" wrapText="1"/>
    </xf>
    <xf numFmtId="0" fontId="74" fillId="25" borderId="73" xfId="0" applyFont="1" applyFill="1" applyBorder="1" applyAlignment="1">
      <alignment horizontal="center" vertical="center"/>
    </xf>
    <xf numFmtId="0" fontId="28" fillId="25" borderId="94" xfId="0" applyFont="1" applyFill="1" applyBorder="1" applyAlignment="1">
      <alignment horizontal="center" vertical="center"/>
    </xf>
    <xf numFmtId="0" fontId="28" fillId="25" borderId="31" xfId="0" applyFont="1" applyFill="1" applyBorder="1" applyAlignment="1">
      <alignment horizontal="center" vertical="center"/>
    </xf>
    <xf numFmtId="0" fontId="0" fillId="0" borderId="96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44" fillId="28" borderId="50" xfId="0" applyFont="1" applyFill="1" applyBorder="1" applyAlignment="1">
      <alignment horizontal="left" vertical="center"/>
    </xf>
    <xf numFmtId="0" fontId="44" fillId="28" borderId="51" xfId="0" applyFont="1" applyFill="1" applyBorder="1" applyAlignment="1">
      <alignment horizontal="left" vertical="center"/>
    </xf>
    <xf numFmtId="0" fontId="45" fillId="35" borderId="98" xfId="0" applyFont="1" applyFill="1" applyBorder="1" applyAlignment="1">
      <alignment horizontal="center" vertical="center" wrapText="1"/>
    </xf>
    <xf numFmtId="0" fontId="45" fillId="35" borderId="31" xfId="0" applyFont="1" applyFill="1" applyBorder="1" applyAlignment="1">
      <alignment horizontal="center" vertical="center"/>
    </xf>
    <xf numFmtId="1" fontId="45" fillId="28" borderId="73" xfId="288" applyNumberFormat="1" applyFont="1" applyFill="1" applyBorder="1" applyAlignment="1">
      <alignment horizontal="center" vertical="center"/>
    </xf>
    <xf numFmtId="1" fontId="45" fillId="28" borderId="31" xfId="288" applyNumberFormat="1" applyFont="1" applyFill="1" applyBorder="1" applyAlignment="1">
      <alignment horizontal="center" vertical="center"/>
    </xf>
    <xf numFmtId="166" fontId="45" fillId="28" borderId="13" xfId="288" applyNumberFormat="1" applyFont="1" applyFill="1" applyBorder="1" applyAlignment="1">
      <alignment horizontal="center" vertical="center"/>
    </xf>
    <xf numFmtId="0" fontId="79" fillId="0" borderId="0" xfId="348" applyFont="1" applyBorder="1" applyAlignment="1" applyProtection="1">
      <alignment horizontal="left" vertical="center"/>
    </xf>
    <xf numFmtId="0" fontId="13" fillId="0" borderId="0" xfId="203" applyAlignment="1">
      <alignment horizontal="left" vertical="center"/>
    </xf>
    <xf numFmtId="0" fontId="81" fillId="0" borderId="118" xfId="348" applyNumberFormat="1" applyFont="1" applyBorder="1" applyAlignment="1" applyProtection="1">
      <alignment horizontal="center" vertical="center" wrapText="1"/>
    </xf>
    <xf numFmtId="0" fontId="81" fillId="0" borderId="119" xfId="348" applyNumberFormat="1" applyFont="1" applyBorder="1" applyAlignment="1" applyProtection="1">
      <alignment horizontal="center" vertical="center" wrapText="1"/>
    </xf>
    <xf numFmtId="0" fontId="13" fillId="0" borderId="0" xfId="203" applyFont="1" applyBorder="1" applyAlignment="1">
      <alignment horizontal="center" vertical="center" wrapText="1"/>
    </xf>
    <xf numFmtId="0" fontId="74" fillId="0" borderId="13" xfId="0" applyFont="1" applyBorder="1" applyAlignment="1">
      <alignment vertical="center" wrapText="1"/>
    </xf>
    <xf numFmtId="0" fontId="79" fillId="0" borderId="0" xfId="348" applyFont="1" applyAlignment="1" applyProtection="1">
      <alignment horizontal="left" vertical="center"/>
    </xf>
    <xf numFmtId="0" fontId="100" fillId="0" borderId="94" xfId="348" applyFont="1" applyBorder="1" applyAlignment="1" applyProtection="1">
      <alignment vertical="center" wrapText="1"/>
    </xf>
    <xf numFmtId="0" fontId="74" fillId="0" borderId="94" xfId="203" applyFont="1" applyBorder="1" applyAlignment="1" applyProtection="1">
      <alignment vertical="center" wrapText="1"/>
    </xf>
    <xf numFmtId="0" fontId="100" fillId="0" borderId="0" xfId="348" applyFont="1" applyBorder="1" applyAlignment="1" applyProtection="1">
      <alignment vertical="center" wrapText="1"/>
    </xf>
    <xf numFmtId="0" fontId="74" fillId="0" borderId="0" xfId="203" applyFont="1" applyAlignment="1" applyProtection="1">
      <alignment vertical="center" wrapText="1"/>
    </xf>
    <xf numFmtId="0" fontId="103" fillId="28" borderId="97" xfId="348" applyFont="1" applyFill="1" applyBorder="1" applyAlignment="1" applyProtection="1">
      <alignment vertical="center" wrapText="1"/>
    </xf>
    <xf numFmtId="0" fontId="103" fillId="28" borderId="53" xfId="348" applyFont="1" applyFill="1" applyBorder="1" applyAlignment="1" applyProtection="1">
      <alignment vertical="center" wrapText="1"/>
    </xf>
    <xf numFmtId="0" fontId="101" fillId="0" borderId="0" xfId="348" applyFont="1" applyFill="1" applyBorder="1" applyAlignment="1" applyProtection="1">
      <alignment horizontal="left" vertical="top" wrapText="1"/>
    </xf>
    <xf numFmtId="0" fontId="103" fillId="28" borderId="75" xfId="348" applyFont="1" applyFill="1" applyBorder="1" applyAlignment="1" applyProtection="1">
      <alignment vertical="center" wrapText="1"/>
    </xf>
    <xf numFmtId="0" fontId="103" fillId="28" borderId="89" xfId="348" applyFont="1" applyFill="1" applyBorder="1" applyAlignment="1" applyProtection="1">
      <alignment vertical="center" wrapText="1"/>
    </xf>
    <xf numFmtId="0" fontId="81" fillId="0" borderId="0" xfId="348" applyAlignment="1" applyProtection="1">
      <alignment wrapText="1"/>
    </xf>
    <xf numFmtId="0" fontId="13" fillId="0" borderId="0" xfId="203" applyAlignment="1"/>
    <xf numFmtId="0" fontId="50" fillId="0" borderId="54" xfId="204" applyFont="1" applyBorder="1" applyAlignment="1">
      <alignment horizontal="center" vertical="center"/>
    </xf>
    <xf numFmtId="0" fontId="50" fillId="0" borderId="55" xfId="204" applyFont="1" applyBorder="1" applyAlignment="1">
      <alignment horizontal="center" vertical="center"/>
    </xf>
    <xf numFmtId="0" fontId="50" fillId="0" borderId="57" xfId="204" applyFont="1" applyBorder="1" applyAlignment="1">
      <alignment horizontal="center" vertical="center"/>
    </xf>
    <xf numFmtId="0" fontId="55" fillId="35" borderId="61" xfId="6" applyFont="1" applyFill="1" applyBorder="1" applyAlignment="1">
      <alignment horizontal="center" vertical="center"/>
    </xf>
    <xf numFmtId="0" fontId="55" fillId="35" borderId="55" xfId="6" applyFont="1" applyFill="1" applyBorder="1" applyAlignment="1">
      <alignment horizontal="center" vertical="center"/>
    </xf>
    <xf numFmtId="0" fontId="55" fillId="35" borderId="57" xfId="6" applyFont="1" applyFill="1" applyBorder="1" applyAlignment="1">
      <alignment horizontal="center" vertical="center"/>
    </xf>
    <xf numFmtId="0" fontId="50" fillId="0" borderId="14" xfId="204" applyFont="1" applyBorder="1" applyAlignment="1">
      <alignment horizontal="center" vertical="center"/>
    </xf>
    <xf numFmtId="0" fontId="45" fillId="0" borderId="15" xfId="204" applyFont="1" applyBorder="1" applyAlignment="1">
      <alignment horizontal="center" vertical="center"/>
    </xf>
    <xf numFmtId="0" fontId="45" fillId="0" borderId="16" xfId="204" applyFont="1" applyBorder="1" applyAlignment="1">
      <alignment horizontal="center" vertical="center"/>
    </xf>
    <xf numFmtId="0" fontId="50" fillId="0" borderId="15" xfId="204" applyFont="1" applyBorder="1" applyAlignment="1">
      <alignment horizontal="center" vertical="center"/>
    </xf>
    <xf numFmtId="0" fontId="50" fillId="0" borderId="16" xfId="204" applyFont="1" applyBorder="1" applyAlignment="1">
      <alignment horizontal="center" vertical="center"/>
    </xf>
    <xf numFmtId="0" fontId="50" fillId="35" borderId="54" xfId="204" applyFont="1" applyFill="1" applyBorder="1" applyAlignment="1">
      <alignment horizontal="center" vertical="center"/>
    </xf>
    <xf numFmtId="0" fontId="50" fillId="35" borderId="55" xfId="204" applyFont="1" applyFill="1" applyBorder="1" applyAlignment="1">
      <alignment horizontal="center" vertical="center"/>
    </xf>
    <xf numFmtId="0" fontId="50" fillId="35" borderId="57" xfId="204" applyFont="1" applyFill="1" applyBorder="1" applyAlignment="1">
      <alignment horizontal="center" vertical="center"/>
    </xf>
    <xf numFmtId="0" fontId="55" fillId="35" borderId="96" xfId="6" applyFont="1" applyFill="1" applyBorder="1" applyAlignment="1">
      <alignment horizontal="center" vertical="center"/>
    </xf>
    <xf numFmtId="0" fontId="55" fillId="35" borderId="94" xfId="6" applyFont="1" applyFill="1" applyBorder="1" applyAlignment="1">
      <alignment horizontal="center" vertical="center"/>
    </xf>
    <xf numFmtId="0" fontId="55" fillId="35" borderId="59" xfId="6" applyFont="1" applyFill="1" applyBorder="1" applyAlignment="1">
      <alignment horizontal="center" vertical="center"/>
    </xf>
    <xf numFmtId="0" fontId="56" fillId="36" borderId="103" xfId="204" applyFont="1" applyFill="1" applyBorder="1" applyAlignment="1">
      <alignment horizontal="center" vertical="center"/>
    </xf>
    <xf numFmtId="0" fontId="50" fillId="36" borderId="17" xfId="204" applyFont="1" applyFill="1" applyBorder="1" applyAlignment="1">
      <alignment horizontal="center" vertical="center"/>
    </xf>
    <xf numFmtId="0" fontId="50" fillId="36" borderId="104" xfId="204" applyFont="1" applyFill="1" applyBorder="1" applyAlignment="1">
      <alignment horizontal="center" vertical="center"/>
    </xf>
    <xf numFmtId="0" fontId="50" fillId="36" borderId="97" xfId="204" applyFont="1" applyFill="1" applyBorder="1" applyAlignment="1">
      <alignment horizontal="center" vertical="center"/>
    </xf>
    <xf numFmtId="0" fontId="50" fillId="36" borderId="53" xfId="204" applyFont="1" applyFill="1" applyBorder="1" applyAlignment="1">
      <alignment horizontal="center" vertical="center"/>
    </xf>
    <xf numFmtId="0" fontId="50" fillId="36" borderId="46" xfId="204" applyFont="1" applyFill="1" applyBorder="1" applyAlignment="1">
      <alignment horizontal="center" vertical="center"/>
    </xf>
    <xf numFmtId="0" fontId="56" fillId="37" borderId="103" xfId="204" applyFont="1" applyFill="1" applyBorder="1" applyAlignment="1">
      <alignment horizontal="center" vertical="center"/>
    </xf>
    <xf numFmtId="0" fontId="56" fillId="37" borderId="17" xfId="204" applyFont="1" applyFill="1" applyBorder="1" applyAlignment="1">
      <alignment horizontal="center" vertical="center"/>
    </xf>
    <xf numFmtId="0" fontId="56" fillId="37" borderId="104" xfId="204" applyFont="1" applyFill="1" applyBorder="1" applyAlignment="1">
      <alignment horizontal="center" vertical="center"/>
    </xf>
    <xf numFmtId="0" fontId="56" fillId="37" borderId="97" xfId="204" applyFont="1" applyFill="1" applyBorder="1" applyAlignment="1">
      <alignment horizontal="center" vertical="center"/>
    </xf>
    <xf numFmtId="0" fontId="56" fillId="37" borderId="53" xfId="204" applyFont="1" applyFill="1" applyBorder="1" applyAlignment="1">
      <alignment horizontal="center" vertical="center"/>
    </xf>
    <xf numFmtId="0" fontId="56" fillId="37" borderId="46" xfId="204" applyFont="1" applyFill="1" applyBorder="1" applyAlignment="1">
      <alignment horizontal="center" vertical="center"/>
    </xf>
    <xf numFmtId="0" fontId="88" fillId="0" borderId="0" xfId="203" applyFont="1" applyAlignment="1">
      <alignment horizontal="left" vertical="center"/>
    </xf>
    <xf numFmtId="0" fontId="55" fillId="35" borderId="54" xfId="6" applyFont="1" applyFill="1" applyBorder="1" applyAlignment="1">
      <alignment horizontal="center" vertical="center"/>
    </xf>
    <xf numFmtId="0" fontId="50" fillId="36" borderId="36" xfId="208" applyFont="1" applyFill="1" applyBorder="1" applyAlignment="1">
      <alignment horizontal="center"/>
    </xf>
    <xf numFmtId="0" fontId="50" fillId="36" borderId="38" xfId="208" applyFont="1" applyFill="1" applyBorder="1" applyAlignment="1">
      <alignment horizontal="center"/>
    </xf>
    <xf numFmtId="0" fontId="31" fillId="36" borderId="56" xfId="208" applyFont="1" applyFill="1" applyBorder="1" applyAlignment="1">
      <alignment horizontal="center"/>
    </xf>
    <xf numFmtId="0" fontId="31" fillId="36" borderId="61" xfId="208" applyFont="1" applyFill="1" applyBorder="1" applyAlignment="1">
      <alignment horizontal="center"/>
    </xf>
    <xf numFmtId="0" fontId="50" fillId="36" borderId="56" xfId="208" applyFont="1" applyFill="1" applyBorder="1" applyAlignment="1">
      <alignment horizontal="center"/>
    </xf>
    <xf numFmtId="0" fontId="56" fillId="36" borderId="103" xfId="208" applyFont="1" applyFill="1" applyBorder="1" applyAlignment="1">
      <alignment horizontal="center" vertical="center"/>
    </xf>
    <xf numFmtId="0" fontId="56" fillId="36" borderId="17" xfId="208" applyFont="1" applyFill="1" applyBorder="1" applyAlignment="1">
      <alignment horizontal="center" vertical="center"/>
    </xf>
    <xf numFmtId="0" fontId="56" fillId="36" borderId="104" xfId="208" applyFont="1" applyFill="1" applyBorder="1" applyAlignment="1">
      <alignment horizontal="center" vertical="center"/>
    </xf>
    <xf numFmtId="0" fontId="56" fillId="36" borderId="97" xfId="208" applyFont="1" applyFill="1" applyBorder="1" applyAlignment="1">
      <alignment horizontal="center" vertical="center"/>
    </xf>
    <xf numFmtId="0" fontId="56" fillId="36" borderId="53" xfId="208" applyFont="1" applyFill="1" applyBorder="1" applyAlignment="1">
      <alignment horizontal="center" vertical="center"/>
    </xf>
    <xf numFmtId="0" fontId="56" fillId="36" borderId="46" xfId="208" applyFont="1" applyFill="1" applyBorder="1" applyAlignment="1">
      <alignment horizontal="center" vertical="center"/>
    </xf>
    <xf numFmtId="0" fontId="50" fillId="37" borderId="54" xfId="209" applyFont="1" applyFill="1" applyBorder="1" applyAlignment="1">
      <alignment horizontal="center"/>
    </xf>
    <xf numFmtId="0" fontId="50" fillId="37" borderId="57" xfId="209" applyFont="1" applyFill="1" applyBorder="1" applyAlignment="1">
      <alignment horizontal="center"/>
    </xf>
    <xf numFmtId="0" fontId="50" fillId="37" borderId="36" xfId="209" applyFont="1" applyFill="1" applyBorder="1" applyAlignment="1">
      <alignment horizontal="center"/>
    </xf>
    <xf numFmtId="0" fontId="50" fillId="37" borderId="38" xfId="209" applyFont="1" applyFill="1" applyBorder="1" applyAlignment="1">
      <alignment horizontal="center"/>
    </xf>
    <xf numFmtId="0" fontId="50" fillId="37" borderId="61" xfId="209" applyFont="1" applyFill="1" applyBorder="1" applyAlignment="1">
      <alignment horizontal="center"/>
    </xf>
    <xf numFmtId="0" fontId="56" fillId="37" borderId="103" xfId="208" applyFont="1" applyFill="1" applyBorder="1" applyAlignment="1">
      <alignment horizontal="center" vertical="center"/>
    </xf>
    <xf numFmtId="0" fontId="56" fillId="37" borderId="17" xfId="208" applyFont="1" applyFill="1" applyBorder="1" applyAlignment="1">
      <alignment horizontal="center" vertical="center"/>
    </xf>
    <xf numFmtId="0" fontId="56" fillId="37" borderId="104" xfId="208" applyFont="1" applyFill="1" applyBorder="1" applyAlignment="1">
      <alignment horizontal="center" vertical="center"/>
    </xf>
    <xf numFmtId="0" fontId="56" fillId="37" borderId="97" xfId="208" applyFont="1" applyFill="1" applyBorder="1" applyAlignment="1">
      <alignment horizontal="center" vertical="center"/>
    </xf>
    <xf numFmtId="0" fontId="56" fillId="37" borderId="53" xfId="208" applyFont="1" applyFill="1" applyBorder="1" applyAlignment="1">
      <alignment horizontal="center" vertical="center"/>
    </xf>
    <xf numFmtId="0" fontId="56" fillId="37" borderId="46" xfId="208" applyFont="1" applyFill="1" applyBorder="1" applyAlignment="1">
      <alignment horizontal="center" vertical="center"/>
    </xf>
    <xf numFmtId="0" fontId="50" fillId="35" borderId="54" xfId="205" applyFont="1" applyFill="1" applyBorder="1" applyAlignment="1">
      <alignment horizontal="center" vertical="center"/>
    </xf>
    <xf numFmtId="0" fontId="50" fillId="35" borderId="55" xfId="205" applyFont="1" applyFill="1" applyBorder="1" applyAlignment="1">
      <alignment horizontal="center" vertical="center"/>
    </xf>
    <xf numFmtId="0" fontId="50" fillId="35" borderId="57" xfId="205" applyFont="1" applyFill="1" applyBorder="1" applyAlignment="1">
      <alignment horizontal="center" vertical="center"/>
    </xf>
    <xf numFmtId="0" fontId="50" fillId="35" borderId="100" xfId="205" applyFont="1" applyFill="1" applyBorder="1" applyAlignment="1">
      <alignment horizontal="center" vertical="center"/>
    </xf>
    <xf numFmtId="0" fontId="50" fillId="35" borderId="64" xfId="205" applyFont="1" applyFill="1" applyBorder="1" applyAlignment="1">
      <alignment horizontal="center" vertical="center"/>
    </xf>
    <xf numFmtId="0" fontId="50" fillId="35" borderId="60" xfId="205" applyFont="1" applyFill="1" applyBorder="1" applyAlignment="1">
      <alignment horizontal="center" vertical="center"/>
    </xf>
    <xf numFmtId="0" fontId="53" fillId="25" borderId="73" xfId="95" applyFont="1" applyFill="1" applyBorder="1" applyAlignment="1">
      <alignment horizontal="center" vertical="center"/>
    </xf>
    <xf numFmtId="0" fontId="53" fillId="25" borderId="59" xfId="95" applyFont="1" applyFill="1" applyBorder="1" applyAlignment="1">
      <alignment horizontal="center" vertical="center"/>
    </xf>
    <xf numFmtId="0" fontId="44" fillId="28" borderId="107" xfId="205" applyFont="1" applyFill="1" applyBorder="1" applyAlignment="1">
      <alignment horizontal="center" vertical="center"/>
    </xf>
    <xf numFmtId="0" fontId="44" fillId="28" borderId="76" xfId="205" applyFont="1" applyFill="1" applyBorder="1" applyAlignment="1">
      <alignment horizontal="center" vertical="center"/>
    </xf>
    <xf numFmtId="0" fontId="31" fillId="25" borderId="74" xfId="97" applyFont="1" applyFill="1" applyBorder="1" applyAlignment="1">
      <alignment horizontal="center" vertical="center" wrapText="1"/>
    </xf>
    <xf numFmtId="0" fontId="31" fillId="25" borderId="66" xfId="97" applyFont="1" applyFill="1" applyBorder="1" applyAlignment="1">
      <alignment horizontal="center" vertical="center" wrapText="1"/>
    </xf>
    <xf numFmtId="0" fontId="31" fillId="25" borderId="47" xfId="97" applyFont="1" applyFill="1" applyBorder="1" applyAlignment="1">
      <alignment horizontal="center" vertical="center" wrapText="1"/>
    </xf>
    <xf numFmtId="0" fontId="13" fillId="25" borderId="47" xfId="97" applyFont="1" applyFill="1" applyBorder="1" applyAlignment="1">
      <alignment horizontal="center" vertical="center"/>
    </xf>
    <xf numFmtId="0" fontId="39" fillId="28" borderId="75" xfId="203" applyFont="1" applyFill="1" applyBorder="1" applyAlignment="1">
      <alignment horizontal="left" vertical="center" wrapText="1"/>
    </xf>
    <xf numFmtId="0" fontId="39" fillId="28" borderId="89" xfId="203" applyFont="1" applyFill="1" applyBorder="1" applyAlignment="1">
      <alignment horizontal="left" vertical="center" wrapText="1"/>
    </xf>
    <xf numFmtId="0" fontId="39" fillId="28" borderId="76" xfId="203" applyFont="1" applyFill="1" applyBorder="1" applyAlignment="1">
      <alignment horizontal="left" vertical="center" wrapText="1"/>
    </xf>
    <xf numFmtId="0" fontId="28" fillId="35" borderId="54" xfId="203" applyFont="1" applyFill="1" applyBorder="1" applyAlignment="1">
      <alignment horizontal="center" vertical="center"/>
    </xf>
    <xf numFmtId="0" fontId="28" fillId="35" borderId="55" xfId="203" applyFont="1" applyFill="1" applyBorder="1" applyAlignment="1">
      <alignment horizontal="center" vertical="center"/>
    </xf>
    <xf numFmtId="0" fontId="28" fillId="38" borderId="43" xfId="203" applyFont="1" applyFill="1" applyBorder="1" applyAlignment="1">
      <alignment horizontal="center" vertical="center"/>
    </xf>
    <xf numFmtId="0" fontId="28" fillId="38" borderId="13" xfId="203" applyFont="1" applyFill="1" applyBorder="1" applyAlignment="1">
      <alignment horizontal="center" vertical="center"/>
    </xf>
    <xf numFmtId="0" fontId="28" fillId="38" borderId="73" xfId="203" applyFont="1" applyFill="1" applyBorder="1" applyAlignment="1">
      <alignment horizontal="center" vertical="center"/>
    </xf>
    <xf numFmtId="0" fontId="57" fillId="25" borderId="74" xfId="97" applyFont="1" applyFill="1" applyBorder="1" applyAlignment="1">
      <alignment horizontal="center" vertical="center"/>
    </xf>
    <xf numFmtId="0" fontId="57" fillId="25" borderId="66" xfId="97" applyFont="1" applyFill="1" applyBorder="1" applyAlignment="1">
      <alignment horizontal="center" vertical="center"/>
    </xf>
    <xf numFmtId="0" fontId="57" fillId="25" borderId="47" xfId="97" applyFont="1" applyFill="1" applyBorder="1" applyAlignment="1">
      <alignment horizontal="center" vertical="center"/>
    </xf>
    <xf numFmtId="0" fontId="74" fillId="0" borderId="74" xfId="348" applyFont="1" applyBorder="1" applyAlignment="1" applyProtection="1">
      <alignment vertical="center" wrapText="1"/>
    </xf>
    <xf numFmtId="0" fontId="74" fillId="0" borderId="66" xfId="203" applyFont="1" applyBorder="1" applyAlignment="1">
      <alignment vertical="center" wrapText="1"/>
    </xf>
    <xf numFmtId="0" fontId="74" fillId="0" borderId="47" xfId="203" applyFont="1" applyBorder="1" applyAlignment="1">
      <alignment vertical="center" wrapText="1"/>
    </xf>
    <xf numFmtId="0" fontId="13" fillId="0" borderId="53" xfId="203" applyBorder="1" applyAlignment="1">
      <alignment vertical="center" wrapText="1"/>
    </xf>
    <xf numFmtId="0" fontId="74" fillId="38" borderId="93" xfId="348" applyFont="1" applyFill="1" applyBorder="1" applyAlignment="1" applyProtection="1">
      <alignment vertical="center" wrapText="1"/>
    </xf>
    <xf numFmtId="0" fontId="13" fillId="0" borderId="28" xfId="203" applyBorder="1" applyAlignment="1">
      <alignment vertical="center" wrapText="1"/>
    </xf>
    <xf numFmtId="0" fontId="13" fillId="0" borderId="66" xfId="203" applyBorder="1" applyAlignment="1">
      <alignment vertical="center" wrapText="1"/>
    </xf>
    <xf numFmtId="0" fontId="13" fillId="0" borderId="47" xfId="203" applyBorder="1" applyAlignment="1">
      <alignment vertical="center" wrapText="1"/>
    </xf>
    <xf numFmtId="0" fontId="81" fillId="0" borderId="44" xfId="348" applyFont="1" applyBorder="1" applyAlignment="1" applyProtection="1">
      <alignment horizontal="center" vertical="center" wrapText="1"/>
    </xf>
    <xf numFmtId="0" fontId="81" fillId="25" borderId="74" xfId="349" applyFont="1" applyFill="1" applyBorder="1" applyAlignment="1" applyProtection="1">
      <alignment horizontal="center" vertical="center" wrapText="1"/>
      <protection locked="0"/>
    </xf>
    <xf numFmtId="0" fontId="81" fillId="25" borderId="66" xfId="349" applyFont="1" applyFill="1" applyBorder="1" applyAlignment="1" applyProtection="1">
      <alignment horizontal="center" vertical="center" wrapText="1"/>
      <protection locked="0"/>
    </xf>
    <xf numFmtId="0" fontId="81" fillId="25" borderId="47" xfId="349" applyFont="1" applyFill="1" applyBorder="1" applyAlignment="1" applyProtection="1">
      <alignment horizontal="center" vertical="center" wrapText="1"/>
      <protection locked="0"/>
    </xf>
    <xf numFmtId="0" fontId="81" fillId="25" borderId="82" xfId="349" applyFont="1" applyFill="1" applyBorder="1" applyAlignment="1" applyProtection="1">
      <alignment horizontal="center" vertical="center" wrapText="1"/>
      <protection locked="0"/>
    </xf>
    <xf numFmtId="0" fontId="81" fillId="25" borderId="86" xfId="349" applyFont="1" applyFill="1" applyBorder="1" applyAlignment="1" applyProtection="1">
      <alignment horizontal="center" vertical="center" wrapText="1"/>
      <protection locked="0"/>
    </xf>
  </cellXfs>
  <cellStyles count="350">
    <cellStyle name="20 % - Akzent2 2" xfId="1"/>
    <cellStyle name="20 % - Akzent2 2 2" xfId="2"/>
    <cellStyle name="20% - Akzent1" xfId="3"/>
    <cellStyle name="20% - Akzent1 2" xfId="4"/>
    <cellStyle name="20% - Akzent1 3" xfId="5"/>
    <cellStyle name="20% - Akzent2" xfId="6"/>
    <cellStyle name="20% - Akzent2 2" xfId="7"/>
    <cellStyle name="20% - Akzent2 2 2" xfId="8"/>
    <cellStyle name="20% - Akzent2 2 3" xfId="9"/>
    <cellStyle name="20% - Akzent2 3" xfId="10"/>
    <cellStyle name="20% - Akzent3" xfId="11"/>
    <cellStyle name="20% - Akzent3 2" xfId="12"/>
    <cellStyle name="20% - Akzent3 3" xfId="13"/>
    <cellStyle name="20% - Akzent4" xfId="14"/>
    <cellStyle name="20% - Akzent4 2" xfId="15"/>
    <cellStyle name="20% - Akzent4 3" xfId="16"/>
    <cellStyle name="20% - Akzent5" xfId="17"/>
    <cellStyle name="20% - Akzent5 2" xfId="18"/>
    <cellStyle name="20% - Akzent5 3" xfId="19"/>
    <cellStyle name="20% - Akzent6" xfId="20"/>
    <cellStyle name="20% - Akzent6 2" xfId="21"/>
    <cellStyle name="20% - Akzent6 3" xfId="22"/>
    <cellStyle name="40% - Akzent1" xfId="23"/>
    <cellStyle name="40% - Akzent1 2" xfId="24"/>
    <cellStyle name="40% - Akzent1 3" xfId="25"/>
    <cellStyle name="40% - Akzent2" xfId="26"/>
    <cellStyle name="40% - Akzent2 2" xfId="27"/>
    <cellStyle name="40% - Akzent2 3" xfId="28"/>
    <cellStyle name="40% - Akzent3" xfId="29"/>
    <cellStyle name="40% - Akzent3 2" xfId="30"/>
    <cellStyle name="40% - Akzent3 3" xfId="31"/>
    <cellStyle name="40% - Akzent4" xfId="32"/>
    <cellStyle name="40% - Akzent4 2" xfId="33"/>
    <cellStyle name="40% - Akzent4 3" xfId="34"/>
    <cellStyle name="40% - Akzent5" xfId="35"/>
    <cellStyle name="40% - Akzent5 2" xfId="36"/>
    <cellStyle name="40% - Akzent5 3" xfId="37"/>
    <cellStyle name="40% - Akzent6" xfId="38"/>
    <cellStyle name="40% - Akzent6 2" xfId="39"/>
    <cellStyle name="40% - Akzent6 3" xfId="40"/>
    <cellStyle name="60% - Akzent1" xfId="41"/>
    <cellStyle name="60% - Akzent2" xfId="42"/>
    <cellStyle name="60% - Akzent3" xfId="43"/>
    <cellStyle name="60% - Akzent4" xfId="44"/>
    <cellStyle name="60% - Akzent5" xfId="45"/>
    <cellStyle name="60% - Akzent6" xfId="46"/>
    <cellStyle name="Akzent1" xfId="47"/>
    <cellStyle name="Akzent1 2" xfId="48"/>
    <cellStyle name="Akzent2" xfId="49"/>
    <cellStyle name="Akzent2 2" xfId="50"/>
    <cellStyle name="Akzent3" xfId="51"/>
    <cellStyle name="Akzent3 2" xfId="52"/>
    <cellStyle name="Akzent4" xfId="53"/>
    <cellStyle name="Akzent4 2" xfId="54"/>
    <cellStyle name="Akzent5" xfId="55"/>
    <cellStyle name="Akzent5 2" xfId="56"/>
    <cellStyle name="Akzent6" xfId="57"/>
    <cellStyle name="Akzent6 2" xfId="58"/>
    <cellStyle name="Ausgabe" xfId="59"/>
    <cellStyle name="Ausgabe 2" xfId="60"/>
    <cellStyle name="Ausgabe 3" xfId="61"/>
    <cellStyle name="Berechnung" xfId="62"/>
    <cellStyle name="Berechnung 2" xfId="63"/>
    <cellStyle name="Dezimal 2" xfId="64"/>
    <cellStyle name="Dezimal 2 2" xfId="65"/>
    <cellStyle name="Dezimal 2 2 2" xfId="66"/>
    <cellStyle name="Dezimal 2 2 2 2" xfId="67"/>
    <cellStyle name="Dezimal 2 2 2 2 2" xfId="68"/>
    <cellStyle name="Dezimal 2 2 2 3" xfId="69"/>
    <cellStyle name="Dezimal 2 2 2 3 2" xfId="70"/>
    <cellStyle name="Dezimal 2 2 2 4" xfId="71"/>
    <cellStyle name="Dezimal 2 2 3" xfId="72"/>
    <cellStyle name="Dezimal 2 2 3 2" xfId="73"/>
    <cellStyle name="Dezimal 2 2 4" xfId="74"/>
    <cellStyle name="Dezimal 2 2 4 2" xfId="75"/>
    <cellStyle name="Dezimal 2 2 5" xfId="76"/>
    <cellStyle name="Dezimal 2 3" xfId="77"/>
    <cellStyle name="Dezimal 2 3 2" xfId="78"/>
    <cellStyle name="Dezimal 2 3 2 2" xfId="79"/>
    <cellStyle name="Dezimal 2 3 3" xfId="80"/>
    <cellStyle name="Dezimal 2 3 3 2" xfId="81"/>
    <cellStyle name="Dezimal 2 3 4" xfId="82"/>
    <cellStyle name="Dezimal 2 4" xfId="83"/>
    <cellStyle name="Dezimal 2 4 2" xfId="84"/>
    <cellStyle name="Dezimal 2 4 2 2" xfId="85"/>
    <cellStyle name="Dezimal 2 4 3" xfId="86"/>
    <cellStyle name="Dezimal 2 4 3 2" xfId="87"/>
    <cellStyle name="Dezimal 2 4 4" xfId="88"/>
    <cellStyle name="Dezimal 2 5" xfId="89"/>
    <cellStyle name="Dezimal 2 5 2" xfId="90"/>
    <cellStyle name="Dezimal 2 6" xfId="91"/>
    <cellStyle name="Dezimal 2 6 2" xfId="92"/>
    <cellStyle name="Dezimal 2 7" xfId="93"/>
    <cellStyle name="Eingabe" xfId="94"/>
    <cellStyle name="Eingabe 10" xfId="95"/>
    <cellStyle name="Eingabe 2" xfId="96"/>
    <cellStyle name="Eingabe 2_2010-12-07 Kriterien Sanierung Verwaltung Schule Sozial" xfId="97"/>
    <cellStyle name="Eingabe 2_2010-12-07 Kriterien Sanierung Verwaltung Schule Sozial 2" xfId="349"/>
    <cellStyle name="Eingabe 3" xfId="98"/>
    <cellStyle name="Eingabe 4" xfId="99"/>
    <cellStyle name="Eingabe 5" xfId="100"/>
    <cellStyle name="Eingabe 6" xfId="101"/>
    <cellStyle name="Eingabe 7" xfId="102"/>
    <cellStyle name="Eingabe 8" xfId="103"/>
    <cellStyle name="Eingabe 9" xfId="104"/>
    <cellStyle name="Ergebnis" xfId="105"/>
    <cellStyle name="Ergebnis 2" xfId="106"/>
    <cellStyle name="Erklärender Text" xfId="107"/>
    <cellStyle name="Erklärender Text 2" xfId="108"/>
    <cellStyle name="Gut" xfId="109"/>
    <cellStyle name="Gut 2" xfId="110"/>
    <cellStyle name="Komma" xfId="111" builtinId="3"/>
    <cellStyle name="Komma 2" xfId="112"/>
    <cellStyle name="Komma 2 2" xfId="113"/>
    <cellStyle name="Komma 2 2 2" xfId="114"/>
    <cellStyle name="Komma 2 2 2 2" xfId="115"/>
    <cellStyle name="Komma 2 2 2 2 2" xfId="116"/>
    <cellStyle name="Komma 2 2 2 3" xfId="117"/>
    <cellStyle name="Komma 2 2 2 3 2" xfId="118"/>
    <cellStyle name="Komma 2 2 2 4" xfId="119"/>
    <cellStyle name="Komma 2 2 3" xfId="120"/>
    <cellStyle name="Komma 2 2 3 2" xfId="121"/>
    <cellStyle name="Komma 2 2 4" xfId="122"/>
    <cellStyle name="Komma 2 2 4 2" xfId="123"/>
    <cellStyle name="Komma 2 2 5" xfId="124"/>
    <cellStyle name="Komma 2 3" xfId="125"/>
    <cellStyle name="Komma 2 3 2" xfId="126"/>
    <cellStyle name="Komma 2 3 2 2" xfId="127"/>
    <cellStyle name="Komma 2 3 2 2 2" xfId="128"/>
    <cellStyle name="Komma 2 3 2 3" xfId="129"/>
    <cellStyle name="Komma 2 3 2 3 2" xfId="130"/>
    <cellStyle name="Komma 2 3 2 4" xfId="131"/>
    <cellStyle name="Komma 2 3 3" xfId="132"/>
    <cellStyle name="Komma 2 3 3 2" xfId="133"/>
    <cellStyle name="Komma 2 3 4" xfId="134"/>
    <cellStyle name="Komma 2 3 4 2" xfId="135"/>
    <cellStyle name="Komma 2 3 5" xfId="136"/>
    <cellStyle name="Komma 2 4" xfId="137"/>
    <cellStyle name="Komma 2 4 2" xfId="138"/>
    <cellStyle name="Komma 2 4 2 2" xfId="139"/>
    <cellStyle name="Komma 2 4 3" xfId="140"/>
    <cellStyle name="Komma 2 4 3 2" xfId="141"/>
    <cellStyle name="Komma 2 4 4" xfId="142"/>
    <cellStyle name="Komma 2 5" xfId="143"/>
    <cellStyle name="Komma 2 5 2" xfId="144"/>
    <cellStyle name="Komma 2 5 2 2" xfId="145"/>
    <cellStyle name="Komma 2 5 3" xfId="146"/>
    <cellStyle name="Komma 2 5 3 2" xfId="147"/>
    <cellStyle name="Komma 2 5 4" xfId="148"/>
    <cellStyle name="Komma 2 6" xfId="149"/>
    <cellStyle name="Komma 2 6 2" xfId="150"/>
    <cellStyle name="Komma 2 7" xfId="151"/>
    <cellStyle name="Komma 2 7 2" xfId="152"/>
    <cellStyle name="Komma 2 8" xfId="153"/>
    <cellStyle name="Komma 3" xfId="154"/>
    <cellStyle name="Link" xfId="155" builtinId="8"/>
    <cellStyle name="Notiz" xfId="156"/>
    <cellStyle name="Notiz 2" xfId="157"/>
    <cellStyle name="Prozent 2" xfId="158"/>
    <cellStyle name="Prozent 2 2" xfId="159"/>
    <cellStyle name="Prozent 2 2 2" xfId="160"/>
    <cellStyle name="Prozent 2 2 2 2" xfId="161"/>
    <cellStyle name="Prozent 2 2 2 2 2" xfId="162"/>
    <cellStyle name="Prozent 2 2 2 3" xfId="163"/>
    <cellStyle name="Prozent 2 2 2 3 2" xfId="164"/>
    <cellStyle name="Prozent 2 2 2 4" xfId="165"/>
    <cellStyle name="Prozent 2 2 3" xfId="166"/>
    <cellStyle name="Prozent 2 2 3 2" xfId="167"/>
    <cellStyle name="Prozent 2 2 4" xfId="168"/>
    <cellStyle name="Prozent 2 2 4 2" xfId="169"/>
    <cellStyle name="Prozent 2 2 5" xfId="170"/>
    <cellStyle name="Prozent 2 3" xfId="171"/>
    <cellStyle name="Prozent 2 3 2" xfId="172"/>
    <cellStyle name="Prozent 2 3 2 2" xfId="173"/>
    <cellStyle name="Prozent 2 3 2 2 2" xfId="174"/>
    <cellStyle name="Prozent 2 3 2 3" xfId="175"/>
    <cellStyle name="Prozent 2 3 2 3 2" xfId="176"/>
    <cellStyle name="Prozent 2 3 2 4" xfId="177"/>
    <cellStyle name="Prozent 2 3 3" xfId="178"/>
    <cellStyle name="Prozent 2 3 3 2" xfId="179"/>
    <cellStyle name="Prozent 2 3 4" xfId="180"/>
    <cellStyle name="Prozent 2 3 4 2" xfId="181"/>
    <cellStyle name="Prozent 2 3 5" xfId="182"/>
    <cellStyle name="Prozent 2 4" xfId="183"/>
    <cellStyle name="Prozent 2 4 2" xfId="184"/>
    <cellStyle name="Prozent 2 4 2 2" xfId="185"/>
    <cellStyle name="Prozent 2 4 3" xfId="186"/>
    <cellStyle name="Prozent 2 4 3 2" xfId="187"/>
    <cellStyle name="Prozent 2 4 4" xfId="188"/>
    <cellStyle name="Prozent 2 5" xfId="189"/>
    <cellStyle name="Prozent 2 5 2" xfId="190"/>
    <cellStyle name="Prozent 2 5 2 2" xfId="191"/>
    <cellStyle name="Prozent 2 5 3" xfId="192"/>
    <cellStyle name="Prozent 2 5 3 2" xfId="193"/>
    <cellStyle name="Prozent 2 5 4" xfId="194"/>
    <cellStyle name="Prozent 2 6" xfId="195"/>
    <cellStyle name="Prozent 2 6 2" xfId="196"/>
    <cellStyle name="Prozent 2 7" xfId="197"/>
    <cellStyle name="Prozent 2 7 2" xfId="198"/>
    <cellStyle name="Prozent 2 8" xfId="199"/>
    <cellStyle name="Prozent 3" xfId="200"/>
    <cellStyle name="Schlecht" xfId="201"/>
    <cellStyle name="Schlecht 2" xfId="202"/>
    <cellStyle name="Standard" xfId="0" builtinId="0"/>
    <cellStyle name="Standard 2" xfId="203"/>
    <cellStyle name="Standard 2 2" xfId="348"/>
    <cellStyle name="Standard 3" xfId="204"/>
    <cellStyle name="Standard 3 2" xfId="205"/>
    <cellStyle name="Standard 3 2 2" xfId="206"/>
    <cellStyle name="Standard 3 2 2 2" xfId="207"/>
    <cellStyle name="Standard 3 2 2 2 2" xfId="208"/>
    <cellStyle name="Standard 3 2 2 2 2 2" xfId="209"/>
    <cellStyle name="Standard 3 2 2 2 3" xfId="210"/>
    <cellStyle name="Standard 3 2 2 2 3 2" xfId="211"/>
    <cellStyle name="Standard 3 2 2 2 4" xfId="212"/>
    <cellStyle name="Standard 3 2 2 3" xfId="213"/>
    <cellStyle name="Standard 3 2 2 3 2" xfId="214"/>
    <cellStyle name="Standard 3 2 2 4" xfId="215"/>
    <cellStyle name="Standard 3 2 2 4 2" xfId="216"/>
    <cellStyle name="Standard 3 2 2 5" xfId="217"/>
    <cellStyle name="Standard 3 2 3" xfId="218"/>
    <cellStyle name="Standard 3 2 3 2" xfId="219"/>
    <cellStyle name="Standard 3 2 3 2 2" xfId="220"/>
    <cellStyle name="Standard 3 2 3 2 2 2" xfId="221"/>
    <cellStyle name="Standard 3 2 3 2 3" xfId="222"/>
    <cellStyle name="Standard 3 2 3 2 3 2" xfId="223"/>
    <cellStyle name="Standard 3 2 3 2 4" xfId="224"/>
    <cellStyle name="Standard 3 2 3 3" xfId="225"/>
    <cellStyle name="Standard 3 2 3 3 2" xfId="226"/>
    <cellStyle name="Standard 3 2 3 4" xfId="227"/>
    <cellStyle name="Standard 3 2 3 4 2" xfId="228"/>
    <cellStyle name="Standard 3 2 3 5" xfId="229"/>
    <cellStyle name="Standard 3 2 4" xfId="230"/>
    <cellStyle name="Standard 3 2 4 2" xfId="231"/>
    <cellStyle name="Standard 3 2 4 2 2" xfId="232"/>
    <cellStyle name="Standard 3 2 4 3" xfId="233"/>
    <cellStyle name="Standard 3 2 4 3 2" xfId="234"/>
    <cellStyle name="Standard 3 2 4 4" xfId="235"/>
    <cellStyle name="Standard 3 2 5" xfId="236"/>
    <cellStyle name="Standard 3 2 5 2" xfId="237"/>
    <cellStyle name="Standard 3 2 5 2 2" xfId="238"/>
    <cellStyle name="Standard 3 2 5 3" xfId="239"/>
    <cellStyle name="Standard 3 2 5 3 2" xfId="240"/>
    <cellStyle name="Standard 3 2 5 4" xfId="241"/>
    <cellStyle name="Standard 3 2 6" xfId="242"/>
    <cellStyle name="Standard 3 2 6 2" xfId="243"/>
    <cellStyle name="Standard 3 2 7" xfId="244"/>
    <cellStyle name="Standard 3 2 7 2" xfId="245"/>
    <cellStyle name="Standard 3 2 8" xfId="246"/>
    <cellStyle name="Standard 3 3" xfId="247"/>
    <cellStyle name="Standard 3 3 2" xfId="248"/>
    <cellStyle name="Standard 3 3 2 2" xfId="249"/>
    <cellStyle name="Standard 3 3 2 2 2" xfId="250"/>
    <cellStyle name="Standard 3 3 2 3" xfId="251"/>
    <cellStyle name="Standard 3 3 2 3 2" xfId="252"/>
    <cellStyle name="Standard 3 3 2 4" xfId="253"/>
    <cellStyle name="Standard 3 3 3" xfId="254"/>
    <cellStyle name="Standard 3 3 3 2" xfId="255"/>
    <cellStyle name="Standard 3 3 4" xfId="256"/>
    <cellStyle name="Standard 3 3 4 2" xfId="257"/>
    <cellStyle name="Standard 3 3 5" xfId="258"/>
    <cellStyle name="Standard 3 4" xfId="259"/>
    <cellStyle name="Standard 3 4 2" xfId="260"/>
    <cellStyle name="Standard 3 4 2 2" xfId="261"/>
    <cellStyle name="Standard 3 4 2 2 2" xfId="262"/>
    <cellStyle name="Standard 3 4 2 3" xfId="263"/>
    <cellStyle name="Standard 3 4 2 3 2" xfId="264"/>
    <cellStyle name="Standard 3 4 2 4" xfId="265"/>
    <cellStyle name="Standard 3 4 3" xfId="266"/>
    <cellStyle name="Standard 3 4 3 2" xfId="267"/>
    <cellStyle name="Standard 3 4 4" xfId="268"/>
    <cellStyle name="Standard 3 4 4 2" xfId="269"/>
    <cellStyle name="Standard 3 4 5" xfId="270"/>
    <cellStyle name="Standard 3 5" xfId="271"/>
    <cellStyle name="Standard 3 5 2" xfId="272"/>
    <cellStyle name="Standard 3 5 2 2" xfId="273"/>
    <cellStyle name="Standard 3 5 3" xfId="274"/>
    <cellStyle name="Standard 3 5 3 2" xfId="275"/>
    <cellStyle name="Standard 3 5 4" xfId="276"/>
    <cellStyle name="Standard 3 6" xfId="277"/>
    <cellStyle name="Standard 3 6 2" xfId="278"/>
    <cellStyle name="Standard 3 6 2 2" xfId="279"/>
    <cellStyle name="Standard 3 6 3" xfId="280"/>
    <cellStyle name="Standard 3 6 3 2" xfId="281"/>
    <cellStyle name="Standard 3 6 4" xfId="282"/>
    <cellStyle name="Standard 3 7" xfId="283"/>
    <cellStyle name="Standard 3 7 2" xfId="284"/>
    <cellStyle name="Standard 3 8" xfId="285"/>
    <cellStyle name="Standard 3 8 2" xfId="286"/>
    <cellStyle name="Standard 3 9" xfId="287"/>
    <cellStyle name="Standard 4" xfId="288"/>
    <cellStyle name="Standard 4 2" xfId="289"/>
    <cellStyle name="Standard 4 2 2" xfId="290"/>
    <cellStyle name="Standard 4 2 2 2" xfId="291"/>
    <cellStyle name="Standard 4 2 2 2 2" xfId="292"/>
    <cellStyle name="Standard 4 2 2 3" xfId="293"/>
    <cellStyle name="Standard 4 2 2 3 2" xfId="294"/>
    <cellStyle name="Standard 4 2 2 4" xfId="295"/>
    <cellStyle name="Standard 4 2 3" xfId="296"/>
    <cellStyle name="Standard 4 2 3 2" xfId="297"/>
    <cellStyle name="Standard 4 2 4" xfId="298"/>
    <cellStyle name="Standard 4 2 4 2" xfId="299"/>
    <cellStyle name="Standard 4 2 5" xfId="300"/>
    <cellStyle name="Standard 4 3" xfId="301"/>
    <cellStyle name="Standard 4 3 2" xfId="302"/>
    <cellStyle name="Standard 4 3 2 2" xfId="303"/>
    <cellStyle name="Standard 4 3 2 2 2" xfId="304"/>
    <cellStyle name="Standard 4 3 2 3" xfId="305"/>
    <cellStyle name="Standard 4 3 2 3 2" xfId="306"/>
    <cellStyle name="Standard 4 3 2 4" xfId="307"/>
    <cellStyle name="Standard 4 3 3" xfId="308"/>
    <cellStyle name="Standard 4 3 3 2" xfId="309"/>
    <cellStyle name="Standard 4 3 4" xfId="310"/>
    <cellStyle name="Standard 4 3 4 2" xfId="311"/>
    <cellStyle name="Standard 4 3 5" xfId="312"/>
    <cellStyle name="Standard 4 4" xfId="313"/>
    <cellStyle name="Standard 4 4 2" xfId="314"/>
    <cellStyle name="Standard 4 4 2 2" xfId="315"/>
    <cellStyle name="Standard 4 4 3" xfId="316"/>
    <cellStyle name="Standard 4 4 3 2" xfId="317"/>
    <cellStyle name="Standard 4 4 4" xfId="318"/>
    <cellStyle name="Standard 4 5" xfId="319"/>
    <cellStyle name="Standard 4 5 2" xfId="320"/>
    <cellStyle name="Standard 4 5 2 2" xfId="321"/>
    <cellStyle name="Standard 4 5 3" xfId="322"/>
    <cellStyle name="Standard 4 5 3 2" xfId="323"/>
    <cellStyle name="Standard 4 5 4" xfId="324"/>
    <cellStyle name="Standard 4 6" xfId="325"/>
    <cellStyle name="Standard 4 6 2" xfId="326"/>
    <cellStyle name="Standard 4 7" xfId="327"/>
    <cellStyle name="Standard 4 7 2" xfId="328"/>
    <cellStyle name="Standard 4 8" xfId="329"/>
    <cellStyle name="Standard 5" xfId="330"/>
    <cellStyle name="Standard 5 2" xfId="331"/>
    <cellStyle name="Überschrift" xfId="332"/>
    <cellStyle name="Überschrift 1" xfId="333"/>
    <cellStyle name="Überschrift 1 2" xfId="334"/>
    <cellStyle name="Überschrift 2" xfId="335"/>
    <cellStyle name="Überschrift 2 2" xfId="336"/>
    <cellStyle name="Überschrift 3" xfId="337"/>
    <cellStyle name="Überschrift 3 2" xfId="338"/>
    <cellStyle name="Überschrift 4" xfId="339"/>
    <cellStyle name="Überschrift 4 2" xfId="340"/>
    <cellStyle name="Überschrift 5" xfId="341"/>
    <cellStyle name="Verknüpfte Zelle" xfId="342"/>
    <cellStyle name="Verknüpfte Zelle 2" xfId="343"/>
    <cellStyle name="Warnender Text" xfId="344"/>
    <cellStyle name="Warnender Text 2" xfId="345"/>
    <cellStyle name="Zelle überprüfen" xfId="346"/>
    <cellStyle name="Zelle überprüfen 2" xfId="347"/>
  </cellStyles>
  <dxfs count="25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  <dxf>
      <font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HWB Sanierung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Graphik'!$J$57</c:f>
              <c:strCache>
                <c:ptCount val="1"/>
                <c:pt idx="0">
                  <c:v>Punkte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'B1 Graphik'!$I$58:$I$115</c:f>
              <c:numCache>
                <c:formatCode>General</c:formatCode>
                <c:ptCount val="5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</c:numCache>
            </c:numRef>
          </c:cat>
          <c:val>
            <c:numRef>
              <c:f>'B1 Graphik'!$J$58:$J$115</c:f>
              <c:numCache>
                <c:formatCode>General</c:formatCode>
                <c:ptCount val="58"/>
                <c:pt idx="0">
                  <c:v>125</c:v>
                </c:pt>
                <c:pt idx="1">
                  <c:v>125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125</c:v>
                </c:pt>
                <c:pt idx="16">
                  <c:v>125</c:v>
                </c:pt>
                <c:pt idx="17">
                  <c:v>125</c:v>
                </c:pt>
                <c:pt idx="18">
                  <c:v>125</c:v>
                </c:pt>
                <c:pt idx="19">
                  <c:v>125</c:v>
                </c:pt>
                <c:pt idx="20">
                  <c:v>125</c:v>
                </c:pt>
                <c:pt idx="21">
                  <c:v>125</c:v>
                </c:pt>
                <c:pt idx="22">
                  <c:v>125</c:v>
                </c:pt>
                <c:pt idx="23">
                  <c:v>125</c:v>
                </c:pt>
                <c:pt idx="24">
                  <c:v>125</c:v>
                </c:pt>
                <c:pt idx="25" formatCode="0.0">
                  <c:v>121.21212121212122</c:v>
                </c:pt>
                <c:pt idx="26" formatCode="0.0">
                  <c:v>117.42424242424242</c:v>
                </c:pt>
                <c:pt idx="27" formatCode="0.0">
                  <c:v>113.63636363636364</c:v>
                </c:pt>
                <c:pt idx="28" formatCode="0.0">
                  <c:v>109.84848484848484</c:v>
                </c:pt>
                <c:pt idx="29" formatCode="0.0">
                  <c:v>106.06060606060606</c:v>
                </c:pt>
                <c:pt idx="30" formatCode="0.0">
                  <c:v>102.27272727272728</c:v>
                </c:pt>
                <c:pt idx="31" formatCode="0.0">
                  <c:v>98.484848484848484</c:v>
                </c:pt>
                <c:pt idx="32" formatCode="0.0">
                  <c:v>94.696969696969688</c:v>
                </c:pt>
                <c:pt idx="33" formatCode="0.0">
                  <c:v>90.909090909090907</c:v>
                </c:pt>
                <c:pt idx="34" formatCode="0.0">
                  <c:v>87.121212121212125</c:v>
                </c:pt>
                <c:pt idx="35" formatCode="0.0">
                  <c:v>83.333333333333329</c:v>
                </c:pt>
                <c:pt idx="36" formatCode="0.0">
                  <c:v>79.545454545454547</c:v>
                </c:pt>
                <c:pt idx="37" formatCode="0.0">
                  <c:v>75.757575757575751</c:v>
                </c:pt>
                <c:pt idx="38" formatCode="0.0">
                  <c:v>71.969696969696969</c:v>
                </c:pt>
                <c:pt idx="39" formatCode="0.0">
                  <c:v>68.181818181818187</c:v>
                </c:pt>
                <c:pt idx="40" formatCode="0.0">
                  <c:v>64.393939393939391</c:v>
                </c:pt>
                <c:pt idx="41" formatCode="0.0">
                  <c:v>60.606060606060609</c:v>
                </c:pt>
                <c:pt idx="42" formatCode="0.0">
                  <c:v>56.818181818181813</c:v>
                </c:pt>
                <c:pt idx="43" formatCode="0.0">
                  <c:v>53.030303030303031</c:v>
                </c:pt>
                <c:pt idx="44" formatCode="0.0">
                  <c:v>49.242424242424235</c:v>
                </c:pt>
                <c:pt idx="45" formatCode="0.0">
                  <c:v>45.454545454545453</c:v>
                </c:pt>
                <c:pt idx="46" formatCode="0.0">
                  <c:v>41.666666666666657</c:v>
                </c:pt>
                <c:pt idx="47" formatCode="0.0">
                  <c:v>37.878787878787875</c:v>
                </c:pt>
                <c:pt idx="48" formatCode="0.0">
                  <c:v>34.090909090909093</c:v>
                </c:pt>
                <c:pt idx="49" formatCode="0.0">
                  <c:v>30.303030303030297</c:v>
                </c:pt>
                <c:pt idx="50" formatCode="0.0">
                  <c:v>26.515151515151516</c:v>
                </c:pt>
                <c:pt idx="51" formatCode="0.0">
                  <c:v>22.72727272727272</c:v>
                </c:pt>
                <c:pt idx="52" formatCode="0.0">
                  <c:v>18.939393939393938</c:v>
                </c:pt>
                <c:pt idx="53" formatCode="0.0">
                  <c:v>15.151515151515142</c:v>
                </c:pt>
                <c:pt idx="54" formatCode="0.0">
                  <c:v>11.36363636363636</c:v>
                </c:pt>
                <c:pt idx="55" formatCode="0.0">
                  <c:v>7.5757575757575637</c:v>
                </c:pt>
                <c:pt idx="56" formatCode="0.0">
                  <c:v>3.7878787878787818</c:v>
                </c:pt>
                <c:pt idx="57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B1-45A7-A95D-E6D8ABA4A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238360"/>
        <c:axId val="139237576"/>
      </c:lineChart>
      <c:catAx>
        <c:axId val="13923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HWB [kWh/(m²EBFa)]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37576"/>
        <c:crosses val="autoZero"/>
        <c:auto val="1"/>
        <c:lblAlgn val="ctr"/>
        <c:lblOffset val="100"/>
        <c:tickLblSkip val="2"/>
        <c:noMultiLvlLbl val="0"/>
      </c:catAx>
      <c:valAx>
        <c:axId val="1392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38360"/>
        <c:crosses val="autoZero"/>
        <c:crossBetween val="midCat"/>
        <c:majorUnit val="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>
                <a:latin typeface="Arial"/>
                <a:cs typeface="Arial"/>
              </a:rPr>
              <a:t>CO2 Neubau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Graphik'!$I$56:$I$57</c:f>
              <c:strCache>
                <c:ptCount val="2"/>
                <c:pt idx="0">
                  <c:v>NEU</c:v>
                </c:pt>
                <c:pt idx="1">
                  <c:v>CO2 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Graphik'!$G$58:$G$98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'B1b Graphik'!$J$58:$J$83</c:f>
              <c:numCache>
                <c:formatCode>General</c:formatCode>
                <c:ptCount val="26"/>
                <c:pt idx="0">
                  <c:v>135</c:v>
                </c:pt>
                <c:pt idx="1">
                  <c:v>129.6</c:v>
                </c:pt>
                <c:pt idx="2">
                  <c:v>124.2</c:v>
                </c:pt>
                <c:pt idx="3">
                  <c:v>118.8</c:v>
                </c:pt>
                <c:pt idx="4">
                  <c:v>113.4</c:v>
                </c:pt>
                <c:pt idx="5">
                  <c:v>108</c:v>
                </c:pt>
                <c:pt idx="6">
                  <c:v>102.6</c:v>
                </c:pt>
                <c:pt idx="7">
                  <c:v>97.199999999999989</c:v>
                </c:pt>
                <c:pt idx="8">
                  <c:v>91.8</c:v>
                </c:pt>
                <c:pt idx="9">
                  <c:v>86.4</c:v>
                </c:pt>
                <c:pt idx="10">
                  <c:v>81</c:v>
                </c:pt>
                <c:pt idx="11">
                  <c:v>75.599999999999994</c:v>
                </c:pt>
                <c:pt idx="12">
                  <c:v>70.199999999999989</c:v>
                </c:pt>
                <c:pt idx="13">
                  <c:v>64.8</c:v>
                </c:pt>
                <c:pt idx="14">
                  <c:v>59.399999999999991</c:v>
                </c:pt>
                <c:pt idx="15">
                  <c:v>54</c:v>
                </c:pt>
                <c:pt idx="16">
                  <c:v>48.599999999999994</c:v>
                </c:pt>
                <c:pt idx="17">
                  <c:v>43.199999999999989</c:v>
                </c:pt>
                <c:pt idx="18">
                  <c:v>37.799999999999997</c:v>
                </c:pt>
                <c:pt idx="19">
                  <c:v>32.399999999999991</c:v>
                </c:pt>
                <c:pt idx="20">
                  <c:v>27</c:v>
                </c:pt>
                <c:pt idx="21">
                  <c:v>21.599999999999994</c:v>
                </c:pt>
                <c:pt idx="22">
                  <c:v>16.199999999999989</c:v>
                </c:pt>
                <c:pt idx="23">
                  <c:v>10.799999999999997</c:v>
                </c:pt>
                <c:pt idx="24">
                  <c:v>5.3999999999999773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37-4EE5-B994-7A66E389F853}"/>
            </c:ext>
          </c:extLst>
        </c:ser>
        <c:ser>
          <c:idx val="1"/>
          <c:order val="1"/>
          <c:tx>
            <c:strRef>
              <c:f>'B1b Graphik'!$G$56:$G$57</c:f>
              <c:strCache>
                <c:ptCount val="2"/>
                <c:pt idx="0">
                  <c:v>ALT</c:v>
                </c:pt>
                <c:pt idx="1">
                  <c:v>CO2 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'B1b Graphik'!$G$58:$G$98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'B1b Graphik'!$H$58:$H$98</c:f>
              <c:numCache>
                <c:formatCode>General</c:formatCode>
                <c:ptCount val="4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130.5</c:v>
                </c:pt>
                <c:pt idx="12">
                  <c:v>126</c:v>
                </c:pt>
                <c:pt idx="13">
                  <c:v>121.5</c:v>
                </c:pt>
                <c:pt idx="14">
                  <c:v>117</c:v>
                </c:pt>
                <c:pt idx="15">
                  <c:v>112.5</c:v>
                </c:pt>
                <c:pt idx="16">
                  <c:v>108</c:v>
                </c:pt>
                <c:pt idx="17">
                  <c:v>103.5</c:v>
                </c:pt>
                <c:pt idx="18">
                  <c:v>99</c:v>
                </c:pt>
                <c:pt idx="19">
                  <c:v>94.5</c:v>
                </c:pt>
                <c:pt idx="20">
                  <c:v>90</c:v>
                </c:pt>
                <c:pt idx="21">
                  <c:v>85.5</c:v>
                </c:pt>
                <c:pt idx="22">
                  <c:v>81</c:v>
                </c:pt>
                <c:pt idx="23">
                  <c:v>76.5</c:v>
                </c:pt>
                <c:pt idx="24">
                  <c:v>72</c:v>
                </c:pt>
                <c:pt idx="25">
                  <c:v>67.5</c:v>
                </c:pt>
                <c:pt idx="26">
                  <c:v>63</c:v>
                </c:pt>
                <c:pt idx="27">
                  <c:v>58.5</c:v>
                </c:pt>
                <c:pt idx="28">
                  <c:v>54</c:v>
                </c:pt>
                <c:pt idx="29">
                  <c:v>49.5</c:v>
                </c:pt>
                <c:pt idx="30">
                  <c:v>45</c:v>
                </c:pt>
                <c:pt idx="31">
                  <c:v>40.5</c:v>
                </c:pt>
                <c:pt idx="32">
                  <c:v>36</c:v>
                </c:pt>
                <c:pt idx="33">
                  <c:v>31.5</c:v>
                </c:pt>
                <c:pt idx="34">
                  <c:v>27</c:v>
                </c:pt>
                <c:pt idx="35">
                  <c:v>22.5</c:v>
                </c:pt>
                <c:pt idx="36">
                  <c:v>18</c:v>
                </c:pt>
                <c:pt idx="37">
                  <c:v>13.5</c:v>
                </c:pt>
                <c:pt idx="38">
                  <c:v>9</c:v>
                </c:pt>
                <c:pt idx="39">
                  <c:v>4.5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37-4EE5-B994-7A66E389F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2184"/>
        <c:axId val="103364736"/>
      </c:lineChart>
      <c:catAx>
        <c:axId val="1033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>
                    <a:latin typeface="Arial"/>
                    <a:cs typeface="Arial"/>
                  </a:rPr>
                  <a:t>CO2 [kg/(m²BGFa)]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64736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103364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2184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HWB Neubau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Graphik'!$B$57</c:f>
              <c:strCache>
                <c:ptCount val="1"/>
                <c:pt idx="0">
                  <c:v>Punkte für A/V=0,2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Graphik'!$A$106:$A$176</c:f>
              <c:numCache>
                <c:formatCode>General</c:formatCode>
                <c:ptCount val="7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</c:numCache>
            </c:numRef>
          </c:cat>
          <c:val>
            <c:numRef>
              <c:f>'B1b Graphik'!$B$58:$B$103</c:f>
              <c:numCache>
                <c:formatCode>General</c:formatCode>
                <c:ptCount val="46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 formatCode="0.0">
                  <c:v>71.975806451612897</c:v>
                </c:pt>
                <c:pt idx="22" formatCode="0.0">
                  <c:v>68.951612903225808</c:v>
                </c:pt>
                <c:pt idx="23" formatCode="0.0">
                  <c:v>65.927419354838705</c:v>
                </c:pt>
                <c:pt idx="24" formatCode="0.0">
                  <c:v>62.903225806451609</c:v>
                </c:pt>
                <c:pt idx="25" formatCode="0.0">
                  <c:v>59.879032258064512</c:v>
                </c:pt>
                <c:pt idx="26" formatCode="0.0">
                  <c:v>56.854838709677416</c:v>
                </c:pt>
                <c:pt idx="27" formatCode="0.0">
                  <c:v>53.83064516129032</c:v>
                </c:pt>
                <c:pt idx="28" formatCode="0.0">
                  <c:v>50.806451612903217</c:v>
                </c:pt>
                <c:pt idx="29" formatCode="0.0">
                  <c:v>47.782258064516121</c:v>
                </c:pt>
                <c:pt idx="30" formatCode="0.0">
                  <c:v>44.758064516129025</c:v>
                </c:pt>
                <c:pt idx="31" formatCode="0.0">
                  <c:v>41.733870967741929</c:v>
                </c:pt>
                <c:pt idx="32" formatCode="0.0">
                  <c:v>38.709677419354833</c:v>
                </c:pt>
                <c:pt idx="33" formatCode="0.0">
                  <c:v>35.685483870967737</c:v>
                </c:pt>
                <c:pt idx="34" formatCode="0.0">
                  <c:v>32.661290322580641</c:v>
                </c:pt>
                <c:pt idx="35" formatCode="0.0">
                  <c:v>29.637096774193541</c:v>
                </c:pt>
                <c:pt idx="36" formatCode="0.0">
                  <c:v>26.612903225806445</c:v>
                </c:pt>
                <c:pt idx="37" formatCode="0.0">
                  <c:v>23.588709677419349</c:v>
                </c:pt>
                <c:pt idx="38" formatCode="0.0">
                  <c:v>20.564516129032249</c:v>
                </c:pt>
                <c:pt idx="39" formatCode="0.0">
                  <c:v>17.540322580645153</c:v>
                </c:pt>
                <c:pt idx="40" formatCode="0.0">
                  <c:v>14.516129032258057</c:v>
                </c:pt>
                <c:pt idx="41" formatCode="0.0">
                  <c:v>11.491935483870959</c:v>
                </c:pt>
                <c:pt idx="42" formatCode="0.0">
                  <c:v>8.467741935483863</c:v>
                </c:pt>
                <c:pt idx="43" formatCode="0.0">
                  <c:v>5.443548387096766</c:v>
                </c:pt>
                <c:pt idx="44" formatCode="0.0">
                  <c:v>2.4193548387096691</c:v>
                </c:pt>
                <c:pt idx="45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86-4629-B32A-D918AF7C367F}"/>
            </c:ext>
          </c:extLst>
        </c:ser>
        <c:ser>
          <c:idx val="1"/>
          <c:order val="1"/>
          <c:tx>
            <c:strRef>
              <c:f>'B1b Graphik'!$B$105</c:f>
              <c:strCache>
                <c:ptCount val="1"/>
                <c:pt idx="0">
                  <c:v>Punkte für A/V=0,5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Graphik'!$A$106:$A$176</c:f>
              <c:numCache>
                <c:formatCode>General</c:formatCode>
                <c:ptCount val="7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</c:numCache>
            </c:numRef>
          </c:cat>
          <c:val>
            <c:numRef>
              <c:f>'B1b Graphik'!$B$106:$B$176</c:f>
              <c:numCache>
                <c:formatCode>0.00</c:formatCode>
                <c:ptCount val="7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 formatCode="General">
                  <c:v>73.5</c:v>
                </c:pt>
                <c:pt idx="22" formatCode="General">
                  <c:v>72</c:v>
                </c:pt>
                <c:pt idx="23" formatCode="General">
                  <c:v>70.5</c:v>
                </c:pt>
                <c:pt idx="24" formatCode="General">
                  <c:v>69</c:v>
                </c:pt>
                <c:pt idx="25" formatCode="General">
                  <c:v>67.5</c:v>
                </c:pt>
                <c:pt idx="26" formatCode="General">
                  <c:v>66</c:v>
                </c:pt>
                <c:pt idx="27" formatCode="General">
                  <c:v>64.5</c:v>
                </c:pt>
                <c:pt idx="28" formatCode="General">
                  <c:v>63</c:v>
                </c:pt>
                <c:pt idx="29" formatCode="General">
                  <c:v>61.5</c:v>
                </c:pt>
                <c:pt idx="30" formatCode="General">
                  <c:v>60</c:v>
                </c:pt>
                <c:pt idx="31" formatCode="General">
                  <c:v>58.5</c:v>
                </c:pt>
                <c:pt idx="32" formatCode="General">
                  <c:v>57</c:v>
                </c:pt>
                <c:pt idx="33" formatCode="General">
                  <c:v>55.5</c:v>
                </c:pt>
                <c:pt idx="34" formatCode="General">
                  <c:v>54</c:v>
                </c:pt>
                <c:pt idx="35" formatCode="General">
                  <c:v>52.5</c:v>
                </c:pt>
                <c:pt idx="36" formatCode="General">
                  <c:v>51</c:v>
                </c:pt>
                <c:pt idx="37" formatCode="General">
                  <c:v>49.5</c:v>
                </c:pt>
                <c:pt idx="38" formatCode="General">
                  <c:v>48</c:v>
                </c:pt>
                <c:pt idx="39" formatCode="General">
                  <c:v>46.5</c:v>
                </c:pt>
                <c:pt idx="40" formatCode="General">
                  <c:v>45</c:v>
                </c:pt>
                <c:pt idx="41" formatCode="General">
                  <c:v>43.5</c:v>
                </c:pt>
                <c:pt idx="42" formatCode="General">
                  <c:v>42</c:v>
                </c:pt>
                <c:pt idx="43" formatCode="General">
                  <c:v>40.5</c:v>
                </c:pt>
                <c:pt idx="44" formatCode="General">
                  <c:v>39</c:v>
                </c:pt>
                <c:pt idx="45" formatCode="General">
                  <c:v>37.5</c:v>
                </c:pt>
                <c:pt idx="46" formatCode="General">
                  <c:v>36</c:v>
                </c:pt>
                <c:pt idx="47" formatCode="General">
                  <c:v>34.5</c:v>
                </c:pt>
                <c:pt idx="48" formatCode="General">
                  <c:v>33</c:v>
                </c:pt>
                <c:pt idx="49" formatCode="General">
                  <c:v>31.5</c:v>
                </c:pt>
                <c:pt idx="50" formatCode="General">
                  <c:v>30</c:v>
                </c:pt>
                <c:pt idx="51" formatCode="General">
                  <c:v>28.5</c:v>
                </c:pt>
                <c:pt idx="52" formatCode="General">
                  <c:v>27</c:v>
                </c:pt>
                <c:pt idx="53" formatCode="General">
                  <c:v>25.5</c:v>
                </c:pt>
                <c:pt idx="54" formatCode="General">
                  <c:v>24</c:v>
                </c:pt>
                <c:pt idx="55" formatCode="General">
                  <c:v>22.5</c:v>
                </c:pt>
                <c:pt idx="56" formatCode="General">
                  <c:v>21</c:v>
                </c:pt>
                <c:pt idx="57" formatCode="General">
                  <c:v>19.5</c:v>
                </c:pt>
                <c:pt idx="58" formatCode="General">
                  <c:v>18</c:v>
                </c:pt>
                <c:pt idx="59" formatCode="General">
                  <c:v>16.5</c:v>
                </c:pt>
                <c:pt idx="60" formatCode="General">
                  <c:v>15</c:v>
                </c:pt>
                <c:pt idx="61" formatCode="General">
                  <c:v>13.5</c:v>
                </c:pt>
                <c:pt idx="62" formatCode="General">
                  <c:v>12</c:v>
                </c:pt>
                <c:pt idx="63" formatCode="General">
                  <c:v>10.5</c:v>
                </c:pt>
                <c:pt idx="64" formatCode="General">
                  <c:v>9</c:v>
                </c:pt>
                <c:pt idx="65" formatCode="General">
                  <c:v>7.5</c:v>
                </c:pt>
                <c:pt idx="66" formatCode="General">
                  <c:v>6</c:v>
                </c:pt>
                <c:pt idx="67" formatCode="General">
                  <c:v>4.5</c:v>
                </c:pt>
                <c:pt idx="68" formatCode="General">
                  <c:v>3</c:v>
                </c:pt>
                <c:pt idx="69" formatCode="General">
                  <c:v>1.5</c:v>
                </c:pt>
                <c:pt idx="70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86-4629-B32A-D918AF7C3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5520"/>
        <c:axId val="103366304"/>
      </c:lineChart>
      <c:catAx>
        <c:axId val="1033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HWB [kWh/(m²a)]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366304"/>
        <c:crosses val="autoZero"/>
        <c:auto val="1"/>
        <c:lblAlgn val="ctr"/>
        <c:lblOffset val="100"/>
        <c:noMultiLvlLbl val="0"/>
      </c:catAx>
      <c:valAx>
        <c:axId val="103366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365520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HWB Sanierung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Graphik'!$N$57</c:f>
              <c:strCache>
                <c:ptCount val="1"/>
                <c:pt idx="0">
                  <c:v>Punkte für A/V=0,2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Graphik'!$M$115:$M$199</c:f>
              <c:numCache>
                <c:formatCode>General</c:formatCode>
                <c:ptCount val="8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</c:numCache>
            </c:numRef>
          </c:cat>
          <c:val>
            <c:numRef>
              <c:f>'B1b Graphik'!$N$58:$N$112</c:f>
              <c:numCache>
                <c:formatCode>General</c:formatCode>
                <c:ptCount val="55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 formatCode="0.0">
                  <c:v>71.875</c:v>
                </c:pt>
                <c:pt idx="32" formatCode="0.0">
                  <c:v>68.75</c:v>
                </c:pt>
                <c:pt idx="33" formatCode="0.0">
                  <c:v>65.625</c:v>
                </c:pt>
                <c:pt idx="34" formatCode="0.0">
                  <c:v>62.5</c:v>
                </c:pt>
                <c:pt idx="35" formatCode="0.0">
                  <c:v>59.375</c:v>
                </c:pt>
                <c:pt idx="36" formatCode="0.0">
                  <c:v>56.25</c:v>
                </c:pt>
                <c:pt idx="37" formatCode="0.0">
                  <c:v>53.125</c:v>
                </c:pt>
                <c:pt idx="38" formatCode="0.0">
                  <c:v>50</c:v>
                </c:pt>
                <c:pt idx="39" formatCode="0.0">
                  <c:v>46.875</c:v>
                </c:pt>
                <c:pt idx="40" formatCode="0.0">
                  <c:v>43.75</c:v>
                </c:pt>
                <c:pt idx="41" formatCode="0.0">
                  <c:v>40.625</c:v>
                </c:pt>
                <c:pt idx="42" formatCode="0.0">
                  <c:v>37.5</c:v>
                </c:pt>
                <c:pt idx="43" formatCode="0.0">
                  <c:v>34.375</c:v>
                </c:pt>
                <c:pt idx="44" formatCode="0.0">
                  <c:v>31.25</c:v>
                </c:pt>
                <c:pt idx="45" formatCode="0.0">
                  <c:v>28.125</c:v>
                </c:pt>
                <c:pt idx="46" formatCode="0.0">
                  <c:v>25</c:v>
                </c:pt>
                <c:pt idx="47" formatCode="0.0">
                  <c:v>21.875</c:v>
                </c:pt>
                <c:pt idx="48" formatCode="0.0">
                  <c:v>18.75</c:v>
                </c:pt>
                <c:pt idx="49" formatCode="0.0">
                  <c:v>15.625</c:v>
                </c:pt>
                <c:pt idx="50" formatCode="0.0">
                  <c:v>12.5</c:v>
                </c:pt>
                <c:pt idx="51" formatCode="0.0">
                  <c:v>9.375</c:v>
                </c:pt>
                <c:pt idx="52" formatCode="0.0">
                  <c:v>6.25</c:v>
                </c:pt>
                <c:pt idx="53" formatCode="0.0">
                  <c:v>3.125</c:v>
                </c:pt>
                <c:pt idx="54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8-40DB-A325-997A66779F18}"/>
            </c:ext>
          </c:extLst>
        </c:ser>
        <c:ser>
          <c:idx val="1"/>
          <c:order val="1"/>
          <c:tx>
            <c:strRef>
              <c:f>'B1b Graphik'!$N$114</c:f>
              <c:strCache>
                <c:ptCount val="1"/>
                <c:pt idx="0">
                  <c:v>Punkte für A/V=0,5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Graphik'!$M$115:$M$199</c:f>
              <c:numCache>
                <c:formatCode>General</c:formatCode>
                <c:ptCount val="8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</c:numCache>
            </c:numRef>
          </c:cat>
          <c:val>
            <c:numRef>
              <c:f>'B1b Graphik'!$N$115:$N$199</c:f>
              <c:numCache>
                <c:formatCode>0.00</c:formatCode>
                <c:ptCount val="85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 formatCode="0.0">
                  <c:v>73.611111111111114</c:v>
                </c:pt>
                <c:pt idx="32" formatCode="0.0">
                  <c:v>72.222222222222214</c:v>
                </c:pt>
                <c:pt idx="33" formatCode="0.0">
                  <c:v>70.833333333333329</c:v>
                </c:pt>
                <c:pt idx="34" formatCode="0.0">
                  <c:v>69.444444444444443</c:v>
                </c:pt>
                <c:pt idx="35" formatCode="0.0">
                  <c:v>68.055555555555557</c:v>
                </c:pt>
                <c:pt idx="36" formatCode="0.0">
                  <c:v>66.666666666666657</c:v>
                </c:pt>
                <c:pt idx="37" formatCode="0.0">
                  <c:v>65.277777777777771</c:v>
                </c:pt>
                <c:pt idx="38" formatCode="0.0">
                  <c:v>63.888888888888886</c:v>
                </c:pt>
                <c:pt idx="39" formatCode="0.0">
                  <c:v>62.5</c:v>
                </c:pt>
                <c:pt idx="40" formatCode="0.0">
                  <c:v>61.111111111111107</c:v>
                </c:pt>
                <c:pt idx="41" formatCode="0.0">
                  <c:v>59.722222222222221</c:v>
                </c:pt>
                <c:pt idx="42" formatCode="0.0">
                  <c:v>58.333333333333329</c:v>
                </c:pt>
                <c:pt idx="43" formatCode="0.0">
                  <c:v>56.944444444444443</c:v>
                </c:pt>
                <c:pt idx="44" formatCode="0.0">
                  <c:v>55.555555555555557</c:v>
                </c:pt>
                <c:pt idx="45" formatCode="0.0">
                  <c:v>54.166666666666664</c:v>
                </c:pt>
                <c:pt idx="46" formatCode="0.0">
                  <c:v>52.777777777777779</c:v>
                </c:pt>
                <c:pt idx="47" formatCode="0.0">
                  <c:v>51.388888888888886</c:v>
                </c:pt>
                <c:pt idx="48" formatCode="0.0">
                  <c:v>50</c:v>
                </c:pt>
                <c:pt idx="49" formatCode="0.0">
                  <c:v>48.611111111111107</c:v>
                </c:pt>
                <c:pt idx="50" formatCode="0.0">
                  <c:v>47.222222222222221</c:v>
                </c:pt>
                <c:pt idx="51" formatCode="0.0">
                  <c:v>45.833333333333329</c:v>
                </c:pt>
                <c:pt idx="52" formatCode="0.0">
                  <c:v>44.444444444444443</c:v>
                </c:pt>
                <c:pt idx="53" formatCode="0.0">
                  <c:v>43.055555555555557</c:v>
                </c:pt>
                <c:pt idx="54" formatCode="0.0">
                  <c:v>41.666666666666664</c:v>
                </c:pt>
                <c:pt idx="55" formatCode="0.0">
                  <c:v>40.277777777777779</c:v>
                </c:pt>
                <c:pt idx="56" formatCode="0.0">
                  <c:v>38.888888888888886</c:v>
                </c:pt>
                <c:pt idx="57" formatCode="0.0">
                  <c:v>37.5</c:v>
                </c:pt>
                <c:pt idx="58" formatCode="0.0">
                  <c:v>36.111111111111107</c:v>
                </c:pt>
                <c:pt idx="59" formatCode="0.0">
                  <c:v>34.722222222222221</c:v>
                </c:pt>
                <c:pt idx="60" formatCode="0.0">
                  <c:v>33.333333333333329</c:v>
                </c:pt>
                <c:pt idx="61" formatCode="0.0">
                  <c:v>31.944444444444443</c:v>
                </c:pt>
                <c:pt idx="62" formatCode="0.0">
                  <c:v>30.555555555555554</c:v>
                </c:pt>
                <c:pt idx="63" formatCode="0.0">
                  <c:v>29.166666666666664</c:v>
                </c:pt>
                <c:pt idx="64" formatCode="0.0">
                  <c:v>27.777777777777779</c:v>
                </c:pt>
                <c:pt idx="65" formatCode="0.0">
                  <c:v>26.388888888888889</c:v>
                </c:pt>
                <c:pt idx="66" formatCode="0.0">
                  <c:v>25</c:v>
                </c:pt>
                <c:pt idx="67" formatCode="0.0">
                  <c:v>23.611111111111111</c:v>
                </c:pt>
                <c:pt idx="68" formatCode="0.0">
                  <c:v>22.222222222222221</c:v>
                </c:pt>
                <c:pt idx="69" formatCode="0.0">
                  <c:v>20.833333333333332</c:v>
                </c:pt>
                <c:pt idx="70" formatCode="0.0">
                  <c:v>19.444444444444443</c:v>
                </c:pt>
                <c:pt idx="71" formatCode="0.0">
                  <c:v>18.055555555555554</c:v>
                </c:pt>
                <c:pt idx="72" formatCode="0.0">
                  <c:v>16.666666666666664</c:v>
                </c:pt>
                <c:pt idx="73" formatCode="0.0">
                  <c:v>15.277777777777777</c:v>
                </c:pt>
                <c:pt idx="74" formatCode="0.0">
                  <c:v>13.888888888888889</c:v>
                </c:pt>
                <c:pt idx="75" formatCode="0.0">
                  <c:v>12.5</c:v>
                </c:pt>
                <c:pt idx="76" formatCode="0.0">
                  <c:v>11.111111111111111</c:v>
                </c:pt>
                <c:pt idx="77" formatCode="0.0">
                  <c:v>9.7222222222222214</c:v>
                </c:pt>
                <c:pt idx="78" formatCode="0.0">
                  <c:v>8.3333333333333321</c:v>
                </c:pt>
                <c:pt idx="79" formatCode="0.0">
                  <c:v>6.9444444444444446</c:v>
                </c:pt>
                <c:pt idx="80" formatCode="0.0">
                  <c:v>5.5555555555555554</c:v>
                </c:pt>
                <c:pt idx="81" formatCode="0.0">
                  <c:v>4.1666666666666661</c:v>
                </c:pt>
                <c:pt idx="82" formatCode="0.0">
                  <c:v>2.7777777777777777</c:v>
                </c:pt>
                <c:pt idx="83" formatCode="0.0">
                  <c:v>1.3888888888888888</c:v>
                </c:pt>
                <c:pt idx="84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8-40DB-A325-997A6677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7848"/>
        <c:axId val="104015888"/>
      </c:lineChart>
      <c:catAx>
        <c:axId val="10401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HWB [kWh/(m²a)]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5888"/>
        <c:crosses val="autoZero"/>
        <c:auto val="1"/>
        <c:lblAlgn val="ctr"/>
        <c:lblOffset val="100"/>
        <c:noMultiLvlLbl val="0"/>
      </c:catAx>
      <c:valAx>
        <c:axId val="104015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7848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PEB Sanierung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Graphik'!$O$57:$P$57</c:f>
              <c:strCache>
                <c:ptCount val="1"/>
                <c:pt idx="0">
                  <c:v>ALT PEB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Graphik'!$O$59:$O$299</c:f>
              <c:numCache>
                <c:formatCode>General</c:formatCode>
                <c:ptCount val="2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</c:numCache>
            </c:numRef>
          </c:cat>
          <c:val>
            <c:numRef>
              <c:f>'B1b Graphik'!$P$59:$P$299</c:f>
              <c:numCache>
                <c:formatCode>General</c:formatCode>
                <c:ptCount val="241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145</c:v>
                </c:pt>
                <c:pt idx="8">
                  <c:v>145</c:v>
                </c:pt>
                <c:pt idx="9">
                  <c:v>145</c:v>
                </c:pt>
                <c:pt idx="10">
                  <c:v>145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145</c:v>
                </c:pt>
                <c:pt idx="15">
                  <c:v>145</c:v>
                </c:pt>
                <c:pt idx="16">
                  <c:v>145</c:v>
                </c:pt>
                <c:pt idx="17">
                  <c:v>145</c:v>
                </c:pt>
                <c:pt idx="18">
                  <c:v>145</c:v>
                </c:pt>
                <c:pt idx="19">
                  <c:v>145</c:v>
                </c:pt>
                <c:pt idx="20">
                  <c:v>145</c:v>
                </c:pt>
                <c:pt idx="21">
                  <c:v>145</c:v>
                </c:pt>
                <c:pt idx="22">
                  <c:v>145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145</c:v>
                </c:pt>
                <c:pt idx="32">
                  <c:v>145</c:v>
                </c:pt>
                <c:pt idx="33">
                  <c:v>145</c:v>
                </c:pt>
                <c:pt idx="34">
                  <c:v>145</c:v>
                </c:pt>
                <c:pt idx="35">
                  <c:v>145</c:v>
                </c:pt>
                <c:pt idx="36">
                  <c:v>145</c:v>
                </c:pt>
                <c:pt idx="37">
                  <c:v>145</c:v>
                </c:pt>
                <c:pt idx="38">
                  <c:v>145</c:v>
                </c:pt>
                <c:pt idx="39">
                  <c:v>145</c:v>
                </c:pt>
                <c:pt idx="40">
                  <c:v>145</c:v>
                </c:pt>
                <c:pt idx="41">
                  <c:v>145</c:v>
                </c:pt>
                <c:pt idx="42">
                  <c:v>145</c:v>
                </c:pt>
                <c:pt idx="43">
                  <c:v>145</c:v>
                </c:pt>
                <c:pt idx="44">
                  <c:v>145</c:v>
                </c:pt>
                <c:pt idx="45">
                  <c:v>145</c:v>
                </c:pt>
                <c:pt idx="46">
                  <c:v>145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145</c:v>
                </c:pt>
                <c:pt idx="56">
                  <c:v>145</c:v>
                </c:pt>
                <c:pt idx="57">
                  <c:v>145</c:v>
                </c:pt>
                <c:pt idx="58">
                  <c:v>145</c:v>
                </c:pt>
                <c:pt idx="59">
                  <c:v>145</c:v>
                </c:pt>
                <c:pt idx="60">
                  <c:v>145</c:v>
                </c:pt>
                <c:pt idx="61">
                  <c:v>145</c:v>
                </c:pt>
                <c:pt idx="62">
                  <c:v>145</c:v>
                </c:pt>
                <c:pt idx="63">
                  <c:v>145</c:v>
                </c:pt>
                <c:pt idx="64">
                  <c:v>145</c:v>
                </c:pt>
                <c:pt idx="65">
                  <c:v>145</c:v>
                </c:pt>
                <c:pt idx="66">
                  <c:v>145</c:v>
                </c:pt>
                <c:pt idx="67">
                  <c:v>145</c:v>
                </c:pt>
                <c:pt idx="68">
                  <c:v>145</c:v>
                </c:pt>
                <c:pt idx="69">
                  <c:v>145</c:v>
                </c:pt>
                <c:pt idx="70">
                  <c:v>145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145</c:v>
                </c:pt>
                <c:pt idx="80">
                  <c:v>145</c:v>
                </c:pt>
                <c:pt idx="81">
                  <c:v>145</c:v>
                </c:pt>
                <c:pt idx="82">
                  <c:v>145</c:v>
                </c:pt>
                <c:pt idx="83">
                  <c:v>145</c:v>
                </c:pt>
                <c:pt idx="84">
                  <c:v>145</c:v>
                </c:pt>
                <c:pt idx="85">
                  <c:v>145</c:v>
                </c:pt>
                <c:pt idx="86">
                  <c:v>145</c:v>
                </c:pt>
                <c:pt idx="87">
                  <c:v>145</c:v>
                </c:pt>
                <c:pt idx="88">
                  <c:v>145</c:v>
                </c:pt>
                <c:pt idx="89">
                  <c:v>145</c:v>
                </c:pt>
                <c:pt idx="90">
                  <c:v>145</c:v>
                </c:pt>
                <c:pt idx="91" formatCode="0.0">
                  <c:v>144.03333333333333</c:v>
                </c:pt>
                <c:pt idx="92" formatCode="0.0">
                  <c:v>143.06666666666666</c:v>
                </c:pt>
                <c:pt idx="93" formatCode="0.0">
                  <c:v>142.1</c:v>
                </c:pt>
                <c:pt idx="94" formatCode="0.0">
                  <c:v>141.13333333333333</c:v>
                </c:pt>
                <c:pt idx="95" formatCode="0.0">
                  <c:v>140.16666666666666</c:v>
                </c:pt>
                <c:pt idx="96" formatCode="0.0">
                  <c:v>139.19999999999999</c:v>
                </c:pt>
                <c:pt idx="97" formatCode="0.0">
                  <c:v>138.23333333333332</c:v>
                </c:pt>
                <c:pt idx="98" formatCode="0.0">
                  <c:v>137.26666666666668</c:v>
                </c:pt>
                <c:pt idx="99" formatCode="0.0">
                  <c:v>136.30000000000001</c:v>
                </c:pt>
                <c:pt idx="100" formatCode="0.0">
                  <c:v>135.33333333333334</c:v>
                </c:pt>
                <c:pt idx="101" formatCode="0.0">
                  <c:v>134.36666666666667</c:v>
                </c:pt>
                <c:pt idx="102" formatCode="0.0">
                  <c:v>133.4</c:v>
                </c:pt>
                <c:pt idx="103" formatCode="0.0">
                  <c:v>132.43333333333334</c:v>
                </c:pt>
                <c:pt idx="104" formatCode="0.0">
                  <c:v>131.46666666666667</c:v>
                </c:pt>
                <c:pt idx="105" formatCode="0.0">
                  <c:v>130.5</c:v>
                </c:pt>
                <c:pt idx="106" formatCode="0.0">
                  <c:v>129.53333333333333</c:v>
                </c:pt>
                <c:pt idx="107" formatCode="0.0">
                  <c:v>128.56666666666666</c:v>
                </c:pt>
                <c:pt idx="108" formatCode="0.0">
                  <c:v>127.6</c:v>
                </c:pt>
                <c:pt idx="109" formatCode="0.0">
                  <c:v>126.63333333333333</c:v>
                </c:pt>
                <c:pt idx="110" formatCode="0.0">
                  <c:v>125.66666666666667</c:v>
                </c:pt>
                <c:pt idx="111" formatCode="0.0">
                  <c:v>124.7</c:v>
                </c:pt>
                <c:pt idx="112" formatCode="0.0">
                  <c:v>123.73333333333333</c:v>
                </c:pt>
                <c:pt idx="113" formatCode="0.0">
                  <c:v>122.76666666666667</c:v>
                </c:pt>
                <c:pt idx="114" formatCode="0.0">
                  <c:v>121.8</c:v>
                </c:pt>
                <c:pt idx="115" formatCode="0.0">
                  <c:v>120.83333333333333</c:v>
                </c:pt>
                <c:pt idx="116" formatCode="0.0">
                  <c:v>119.86666666666667</c:v>
                </c:pt>
                <c:pt idx="117" formatCode="0.0">
                  <c:v>118.9</c:v>
                </c:pt>
                <c:pt idx="118" formatCode="0.0">
                  <c:v>117.93333333333334</c:v>
                </c:pt>
                <c:pt idx="119" formatCode="0.0">
                  <c:v>116.96666666666667</c:v>
                </c:pt>
                <c:pt idx="120" formatCode="0.0">
                  <c:v>116</c:v>
                </c:pt>
                <c:pt idx="121" formatCode="0.0">
                  <c:v>115.03333333333333</c:v>
                </c:pt>
                <c:pt idx="122" formatCode="0.0">
                  <c:v>114.06666666666666</c:v>
                </c:pt>
                <c:pt idx="123" formatCode="0.0">
                  <c:v>113.1</c:v>
                </c:pt>
                <c:pt idx="124" formatCode="0.0">
                  <c:v>112.13333333333333</c:v>
                </c:pt>
                <c:pt idx="125" formatCode="0.0">
                  <c:v>111.16666666666666</c:v>
                </c:pt>
                <c:pt idx="126" formatCode="0.0">
                  <c:v>110.2</c:v>
                </c:pt>
                <c:pt idx="127" formatCode="0.0">
                  <c:v>109.23333333333333</c:v>
                </c:pt>
                <c:pt idx="128" formatCode="0.0">
                  <c:v>108.26666666666667</c:v>
                </c:pt>
                <c:pt idx="129" formatCode="0.0">
                  <c:v>107.3</c:v>
                </c:pt>
                <c:pt idx="130" formatCode="0.0">
                  <c:v>106.33333333333334</c:v>
                </c:pt>
                <c:pt idx="131" formatCode="0.0">
                  <c:v>105.36666666666667</c:v>
                </c:pt>
                <c:pt idx="132" formatCode="0.0">
                  <c:v>104.4</c:v>
                </c:pt>
                <c:pt idx="133" formatCode="0.0">
                  <c:v>103.43333333333334</c:v>
                </c:pt>
                <c:pt idx="134" formatCode="0.0">
                  <c:v>102.46666666666667</c:v>
                </c:pt>
                <c:pt idx="135" formatCode="0.0">
                  <c:v>101.5</c:v>
                </c:pt>
                <c:pt idx="136" formatCode="0.0">
                  <c:v>100.53333333333333</c:v>
                </c:pt>
                <c:pt idx="137" formatCode="0.0">
                  <c:v>99.566666666666663</c:v>
                </c:pt>
                <c:pt idx="138" formatCode="0.0">
                  <c:v>98.6</c:v>
                </c:pt>
                <c:pt idx="139" formatCode="0.0">
                  <c:v>97.633333333333326</c:v>
                </c:pt>
                <c:pt idx="140" formatCode="0.0">
                  <c:v>96.666666666666657</c:v>
                </c:pt>
                <c:pt idx="141" formatCode="0.0">
                  <c:v>95.7</c:v>
                </c:pt>
                <c:pt idx="142" formatCode="0.0">
                  <c:v>94.733333333333334</c:v>
                </c:pt>
                <c:pt idx="143" formatCode="0.0">
                  <c:v>93.766666666666666</c:v>
                </c:pt>
                <c:pt idx="144" formatCode="0.0">
                  <c:v>92.8</c:v>
                </c:pt>
                <c:pt idx="145" formatCode="0.0">
                  <c:v>91.833333333333343</c:v>
                </c:pt>
                <c:pt idx="146" formatCode="0.0">
                  <c:v>90.866666666666674</c:v>
                </c:pt>
                <c:pt idx="147" formatCode="0.0">
                  <c:v>89.9</c:v>
                </c:pt>
                <c:pt idx="148" formatCode="0.0">
                  <c:v>88.933333333333337</c:v>
                </c:pt>
                <c:pt idx="149" formatCode="0.0">
                  <c:v>87.966666666666669</c:v>
                </c:pt>
                <c:pt idx="150" formatCode="0.0">
                  <c:v>87</c:v>
                </c:pt>
                <c:pt idx="151" formatCode="0.0">
                  <c:v>86.033333333333331</c:v>
                </c:pt>
                <c:pt idx="152" formatCode="0.0">
                  <c:v>85.066666666666663</c:v>
                </c:pt>
                <c:pt idx="153" formatCode="0.0">
                  <c:v>84.1</c:v>
                </c:pt>
                <c:pt idx="154" formatCode="0.0">
                  <c:v>83.133333333333326</c:v>
                </c:pt>
                <c:pt idx="155" formatCode="0.0">
                  <c:v>82.166666666666657</c:v>
                </c:pt>
                <c:pt idx="156" formatCode="0.0">
                  <c:v>81.2</c:v>
                </c:pt>
                <c:pt idx="157" formatCode="0.0">
                  <c:v>80.233333333333334</c:v>
                </c:pt>
                <c:pt idx="158" formatCode="0.0">
                  <c:v>79.266666666666666</c:v>
                </c:pt>
                <c:pt idx="159" formatCode="0.0">
                  <c:v>78.3</c:v>
                </c:pt>
                <c:pt idx="160" formatCode="0.0">
                  <c:v>77.333333333333329</c:v>
                </c:pt>
                <c:pt idx="161" formatCode="0.0">
                  <c:v>76.36666666666666</c:v>
                </c:pt>
                <c:pt idx="162" formatCode="0.0">
                  <c:v>75.400000000000006</c:v>
                </c:pt>
                <c:pt idx="163" formatCode="0.0">
                  <c:v>74.433333333333337</c:v>
                </c:pt>
                <c:pt idx="164" formatCode="0.0">
                  <c:v>73.466666666666669</c:v>
                </c:pt>
                <c:pt idx="165" formatCode="0.0">
                  <c:v>72.5</c:v>
                </c:pt>
                <c:pt idx="166" formatCode="0.0">
                  <c:v>71.533333333333331</c:v>
                </c:pt>
                <c:pt idx="167" formatCode="0.0">
                  <c:v>70.566666666666663</c:v>
                </c:pt>
                <c:pt idx="168" formatCode="0.0">
                  <c:v>69.599999999999994</c:v>
                </c:pt>
                <c:pt idx="169" formatCode="0.0">
                  <c:v>68.633333333333326</c:v>
                </c:pt>
                <c:pt idx="170" formatCode="0.0">
                  <c:v>67.666666666666671</c:v>
                </c:pt>
                <c:pt idx="171" formatCode="0.0">
                  <c:v>66.7</c:v>
                </c:pt>
                <c:pt idx="172" formatCode="0.0">
                  <c:v>65.733333333333334</c:v>
                </c:pt>
                <c:pt idx="173" formatCode="0.0">
                  <c:v>64.766666666666666</c:v>
                </c:pt>
                <c:pt idx="174" formatCode="0.0">
                  <c:v>63.8</c:v>
                </c:pt>
                <c:pt idx="175" formatCode="0.0">
                  <c:v>62.833333333333329</c:v>
                </c:pt>
                <c:pt idx="176" formatCode="0.0">
                  <c:v>61.86666666666666</c:v>
                </c:pt>
                <c:pt idx="177" formatCode="0.0">
                  <c:v>60.900000000000006</c:v>
                </c:pt>
                <c:pt idx="178" formatCode="0.0">
                  <c:v>59.933333333333337</c:v>
                </c:pt>
                <c:pt idx="179" formatCode="0.0">
                  <c:v>58.966666666666669</c:v>
                </c:pt>
                <c:pt idx="180" formatCode="0.0">
                  <c:v>58</c:v>
                </c:pt>
                <c:pt idx="181" formatCode="0.0">
                  <c:v>57.033333333333331</c:v>
                </c:pt>
                <c:pt idx="182" formatCode="0.0">
                  <c:v>56.066666666666663</c:v>
                </c:pt>
                <c:pt idx="183" formatCode="0.0">
                  <c:v>55.099999999999994</c:v>
                </c:pt>
                <c:pt idx="184" formatCode="0.0">
                  <c:v>54.133333333333326</c:v>
                </c:pt>
                <c:pt idx="185" formatCode="0.0">
                  <c:v>53.166666666666671</c:v>
                </c:pt>
                <c:pt idx="186" formatCode="0.0">
                  <c:v>52.2</c:v>
                </c:pt>
                <c:pt idx="187" formatCode="0.0">
                  <c:v>51.233333333333334</c:v>
                </c:pt>
                <c:pt idx="188" formatCode="0.0">
                  <c:v>50.266666666666666</c:v>
                </c:pt>
                <c:pt idx="189" formatCode="0.0">
                  <c:v>49.3</c:v>
                </c:pt>
                <c:pt idx="190" formatCode="0.0">
                  <c:v>48.333333333333329</c:v>
                </c:pt>
                <c:pt idx="191" formatCode="0.0">
                  <c:v>47.36666666666666</c:v>
                </c:pt>
                <c:pt idx="192" formatCode="0.0">
                  <c:v>46.400000000000006</c:v>
                </c:pt>
                <c:pt idx="193" formatCode="0.0">
                  <c:v>45.433333333333337</c:v>
                </c:pt>
                <c:pt idx="194" formatCode="0.0">
                  <c:v>44.466666666666669</c:v>
                </c:pt>
                <c:pt idx="195" formatCode="0.0">
                  <c:v>43.5</c:v>
                </c:pt>
                <c:pt idx="196" formatCode="0.0">
                  <c:v>42.533333333333331</c:v>
                </c:pt>
                <c:pt idx="197" formatCode="0.0">
                  <c:v>41.566666666666663</c:v>
                </c:pt>
                <c:pt idx="198" formatCode="0.0">
                  <c:v>40.599999999999994</c:v>
                </c:pt>
                <c:pt idx="199" formatCode="0.0">
                  <c:v>39.633333333333326</c:v>
                </c:pt>
                <c:pt idx="200" formatCode="0.0">
                  <c:v>38.666666666666671</c:v>
                </c:pt>
                <c:pt idx="201" formatCode="0.0">
                  <c:v>37.700000000000003</c:v>
                </c:pt>
                <c:pt idx="202" formatCode="0.0">
                  <c:v>36.733333333333334</c:v>
                </c:pt>
                <c:pt idx="203" formatCode="0.0">
                  <c:v>35.766666666666666</c:v>
                </c:pt>
                <c:pt idx="204" formatCode="0.0">
                  <c:v>34.799999999999997</c:v>
                </c:pt>
                <c:pt idx="205" formatCode="0.0">
                  <c:v>33.833333333333329</c:v>
                </c:pt>
                <c:pt idx="206" formatCode="0.0">
                  <c:v>32.86666666666666</c:v>
                </c:pt>
                <c:pt idx="207" formatCode="0.0">
                  <c:v>31.900000000000006</c:v>
                </c:pt>
                <c:pt idx="208" formatCode="0.0">
                  <c:v>30.933333333333337</c:v>
                </c:pt>
                <c:pt idx="209" formatCode="0.0">
                  <c:v>29.966666666666669</c:v>
                </c:pt>
                <c:pt idx="210" formatCode="0.0">
                  <c:v>29</c:v>
                </c:pt>
                <c:pt idx="211" formatCode="0.0">
                  <c:v>28.033333333333331</c:v>
                </c:pt>
                <c:pt idx="212" formatCode="0.0">
                  <c:v>27.066666666666663</c:v>
                </c:pt>
                <c:pt idx="213" formatCode="0.0">
                  <c:v>26.099999999999994</c:v>
                </c:pt>
                <c:pt idx="214" formatCode="0.0">
                  <c:v>25.133333333333326</c:v>
                </c:pt>
                <c:pt idx="215" formatCode="0.0">
                  <c:v>24.166666666666671</c:v>
                </c:pt>
                <c:pt idx="216" formatCode="0.0">
                  <c:v>23.200000000000003</c:v>
                </c:pt>
                <c:pt idx="217" formatCode="0.0">
                  <c:v>22.233333333333334</c:v>
                </c:pt>
                <c:pt idx="218" formatCode="0.0">
                  <c:v>21.266666666666666</c:v>
                </c:pt>
                <c:pt idx="219" formatCode="0.0">
                  <c:v>20.299999999999997</c:v>
                </c:pt>
                <c:pt idx="220" formatCode="0.0">
                  <c:v>19.333333333333329</c:v>
                </c:pt>
                <c:pt idx="221" formatCode="0.0">
                  <c:v>18.36666666666666</c:v>
                </c:pt>
                <c:pt idx="222" formatCode="0.0">
                  <c:v>17.400000000000006</c:v>
                </c:pt>
                <c:pt idx="223" formatCode="0.0">
                  <c:v>16.433333333333337</c:v>
                </c:pt>
                <c:pt idx="224" formatCode="0.0">
                  <c:v>15.466666666666669</c:v>
                </c:pt>
                <c:pt idx="225" formatCode="0.0">
                  <c:v>14.5</c:v>
                </c:pt>
                <c:pt idx="226" formatCode="0.0">
                  <c:v>13.533333333333331</c:v>
                </c:pt>
                <c:pt idx="227" formatCode="0.0">
                  <c:v>12.566666666666663</c:v>
                </c:pt>
                <c:pt idx="228" formatCode="0.0">
                  <c:v>11.599999999999994</c:v>
                </c:pt>
                <c:pt idx="229" formatCode="0.0">
                  <c:v>10.633333333333326</c:v>
                </c:pt>
                <c:pt idx="230" formatCode="0.0">
                  <c:v>9.6666666666666572</c:v>
                </c:pt>
                <c:pt idx="231" formatCode="0.0">
                  <c:v>8.6999999999999886</c:v>
                </c:pt>
                <c:pt idx="232" formatCode="0.0">
                  <c:v>7.7333333333333201</c:v>
                </c:pt>
                <c:pt idx="233" formatCode="0.0">
                  <c:v>6.7666666666666515</c:v>
                </c:pt>
                <c:pt idx="234" formatCode="0.0">
                  <c:v>5.8000000000000114</c:v>
                </c:pt>
                <c:pt idx="235" formatCode="0.0">
                  <c:v>4.8333333333333428</c:v>
                </c:pt>
                <c:pt idx="236" formatCode="0.0">
                  <c:v>3.8666666666666742</c:v>
                </c:pt>
                <c:pt idx="237" formatCode="0.0">
                  <c:v>2.9000000000000057</c:v>
                </c:pt>
                <c:pt idx="238" formatCode="0.0">
                  <c:v>1.9333333333333371</c:v>
                </c:pt>
                <c:pt idx="239" formatCode="0.0">
                  <c:v>0.96666666666666856</c:v>
                </c:pt>
                <c:pt idx="24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9C-48F5-91AE-E71CE2AD352F}"/>
            </c:ext>
          </c:extLst>
        </c:ser>
        <c:ser>
          <c:idx val="1"/>
          <c:order val="1"/>
          <c:tx>
            <c:strRef>
              <c:f>'B1b Graphik'!$Q$57:$R$57</c:f>
              <c:strCache>
                <c:ptCount val="1"/>
                <c:pt idx="0">
                  <c:v>NEU PEB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Graphik'!$O$59:$O$299</c:f>
              <c:numCache>
                <c:formatCode>General</c:formatCode>
                <c:ptCount val="2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</c:numCache>
            </c:numRef>
          </c:cat>
          <c:val>
            <c:numRef>
              <c:f>'B1b Graphik'!$R$59:$R$229</c:f>
              <c:numCache>
                <c:formatCode>General</c:formatCode>
                <c:ptCount val="17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>
                  <c:v>135</c:v>
                </c:pt>
                <c:pt idx="28">
                  <c:v>135</c:v>
                </c:pt>
                <c:pt idx="29">
                  <c:v>135</c:v>
                </c:pt>
                <c:pt idx="30">
                  <c:v>135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135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 formatCode="0.0">
                  <c:v>133.875</c:v>
                </c:pt>
                <c:pt idx="52" formatCode="0.0">
                  <c:v>132.75</c:v>
                </c:pt>
                <c:pt idx="53" formatCode="0.0">
                  <c:v>131.625</c:v>
                </c:pt>
                <c:pt idx="54" formatCode="0.0">
                  <c:v>130.5</c:v>
                </c:pt>
                <c:pt idx="55" formatCode="0.0">
                  <c:v>129.375</c:v>
                </c:pt>
                <c:pt idx="56" formatCode="0.0">
                  <c:v>128.25</c:v>
                </c:pt>
                <c:pt idx="57" formatCode="0.0">
                  <c:v>127.125</c:v>
                </c:pt>
                <c:pt idx="58" formatCode="0.0">
                  <c:v>126</c:v>
                </c:pt>
                <c:pt idx="59" formatCode="0.0">
                  <c:v>124.875</c:v>
                </c:pt>
                <c:pt idx="60" formatCode="0.0">
                  <c:v>123.75</c:v>
                </c:pt>
                <c:pt idx="61" formatCode="0.0">
                  <c:v>122.625</c:v>
                </c:pt>
                <c:pt idx="62" formatCode="0.0">
                  <c:v>121.5</c:v>
                </c:pt>
                <c:pt idx="63" formatCode="0.0">
                  <c:v>120.375</c:v>
                </c:pt>
                <c:pt idx="64" formatCode="0.0">
                  <c:v>119.25</c:v>
                </c:pt>
                <c:pt idx="65" formatCode="0.0">
                  <c:v>118.125</c:v>
                </c:pt>
                <c:pt idx="66" formatCode="0.0">
                  <c:v>117</c:v>
                </c:pt>
                <c:pt idx="67" formatCode="0.0">
                  <c:v>115.875</c:v>
                </c:pt>
                <c:pt idx="68" formatCode="0.0">
                  <c:v>114.75</c:v>
                </c:pt>
                <c:pt idx="69" formatCode="0.0">
                  <c:v>113.625</c:v>
                </c:pt>
                <c:pt idx="70" formatCode="0.0">
                  <c:v>112.5</c:v>
                </c:pt>
                <c:pt idx="71" formatCode="0.0">
                  <c:v>111.375</c:v>
                </c:pt>
                <c:pt idx="72" formatCode="0.0">
                  <c:v>110.25</c:v>
                </c:pt>
                <c:pt idx="73" formatCode="0.0">
                  <c:v>109.125</c:v>
                </c:pt>
                <c:pt idx="74" formatCode="0.0">
                  <c:v>108</c:v>
                </c:pt>
                <c:pt idx="75" formatCode="0.0">
                  <c:v>106.875</c:v>
                </c:pt>
                <c:pt idx="76" formatCode="0.0">
                  <c:v>105.75</c:v>
                </c:pt>
                <c:pt idx="77" formatCode="0.0">
                  <c:v>104.625</c:v>
                </c:pt>
                <c:pt idx="78" formatCode="0.0">
                  <c:v>103.5</c:v>
                </c:pt>
                <c:pt idx="79" formatCode="0.0">
                  <c:v>102.375</c:v>
                </c:pt>
                <c:pt idx="80" formatCode="0.0">
                  <c:v>101.25</c:v>
                </c:pt>
                <c:pt idx="81" formatCode="0.0">
                  <c:v>100.125</c:v>
                </c:pt>
                <c:pt idx="82" formatCode="0.0">
                  <c:v>99</c:v>
                </c:pt>
                <c:pt idx="83" formatCode="0.0">
                  <c:v>97.875</c:v>
                </c:pt>
                <c:pt idx="84" formatCode="0.0">
                  <c:v>96.75</c:v>
                </c:pt>
                <c:pt idx="85" formatCode="0.0">
                  <c:v>95.625</c:v>
                </c:pt>
                <c:pt idx="86" formatCode="0.0">
                  <c:v>94.5</c:v>
                </c:pt>
                <c:pt idx="87" formatCode="0.0">
                  <c:v>93.375</c:v>
                </c:pt>
                <c:pt idx="88" formatCode="0.0">
                  <c:v>92.25</c:v>
                </c:pt>
                <c:pt idx="89" formatCode="0.0">
                  <c:v>91.125</c:v>
                </c:pt>
                <c:pt idx="90" formatCode="0.0">
                  <c:v>90</c:v>
                </c:pt>
                <c:pt idx="91" formatCode="0.0">
                  <c:v>88.875</c:v>
                </c:pt>
                <c:pt idx="92" formatCode="0.0">
                  <c:v>87.75</c:v>
                </c:pt>
                <c:pt idx="93" formatCode="0.0">
                  <c:v>86.625</c:v>
                </c:pt>
                <c:pt idx="94" formatCode="0.0">
                  <c:v>85.5</c:v>
                </c:pt>
                <c:pt idx="95" formatCode="0.0">
                  <c:v>84.375</c:v>
                </c:pt>
                <c:pt idx="96" formatCode="0.0">
                  <c:v>83.25</c:v>
                </c:pt>
                <c:pt idx="97" formatCode="0.0">
                  <c:v>82.125</c:v>
                </c:pt>
                <c:pt idx="98" formatCode="0.0">
                  <c:v>81</c:v>
                </c:pt>
                <c:pt idx="99" formatCode="0.0">
                  <c:v>79.875</c:v>
                </c:pt>
                <c:pt idx="100" formatCode="0.0">
                  <c:v>78.75</c:v>
                </c:pt>
                <c:pt idx="101" formatCode="0.0">
                  <c:v>77.625</c:v>
                </c:pt>
                <c:pt idx="102" formatCode="0.0">
                  <c:v>76.5</c:v>
                </c:pt>
                <c:pt idx="103" formatCode="0.0">
                  <c:v>75.375</c:v>
                </c:pt>
                <c:pt idx="104" formatCode="0.0">
                  <c:v>74.25</c:v>
                </c:pt>
                <c:pt idx="105" formatCode="0.0">
                  <c:v>73.125</c:v>
                </c:pt>
                <c:pt idx="106" formatCode="0.0">
                  <c:v>72</c:v>
                </c:pt>
                <c:pt idx="107" formatCode="0.0">
                  <c:v>70.875</c:v>
                </c:pt>
                <c:pt idx="108" formatCode="0.0">
                  <c:v>69.75</c:v>
                </c:pt>
                <c:pt idx="109" formatCode="0.0">
                  <c:v>68.625</c:v>
                </c:pt>
                <c:pt idx="110" formatCode="0.0">
                  <c:v>67.5</c:v>
                </c:pt>
                <c:pt idx="111" formatCode="0.0">
                  <c:v>66.375</c:v>
                </c:pt>
                <c:pt idx="112" formatCode="0.0">
                  <c:v>65.25</c:v>
                </c:pt>
                <c:pt idx="113" formatCode="0.0">
                  <c:v>64.125</c:v>
                </c:pt>
                <c:pt idx="114" formatCode="0.0">
                  <c:v>63</c:v>
                </c:pt>
                <c:pt idx="115" formatCode="0.0">
                  <c:v>61.875</c:v>
                </c:pt>
                <c:pt idx="116" formatCode="0.0">
                  <c:v>60.75</c:v>
                </c:pt>
                <c:pt idx="117" formatCode="0.0">
                  <c:v>59.625</c:v>
                </c:pt>
                <c:pt idx="118" formatCode="0.0">
                  <c:v>58.5</c:v>
                </c:pt>
                <c:pt idx="119" formatCode="0.0">
                  <c:v>57.375</c:v>
                </c:pt>
                <c:pt idx="120" formatCode="0.0">
                  <c:v>56.25</c:v>
                </c:pt>
                <c:pt idx="121" formatCode="0.0">
                  <c:v>55.125</c:v>
                </c:pt>
                <c:pt idx="122" formatCode="0.0">
                  <c:v>54</c:v>
                </c:pt>
                <c:pt idx="123" formatCode="0.0">
                  <c:v>52.875</c:v>
                </c:pt>
                <c:pt idx="124" formatCode="0.0">
                  <c:v>51.75</c:v>
                </c:pt>
                <c:pt idx="125" formatCode="0.0">
                  <c:v>50.625</c:v>
                </c:pt>
                <c:pt idx="126" formatCode="0.0">
                  <c:v>49.5</c:v>
                </c:pt>
                <c:pt idx="127" formatCode="0.0">
                  <c:v>48.375</c:v>
                </c:pt>
                <c:pt idx="128" formatCode="0.0">
                  <c:v>47.25</c:v>
                </c:pt>
                <c:pt idx="129" formatCode="0.0">
                  <c:v>46.125</c:v>
                </c:pt>
                <c:pt idx="130" formatCode="0.0">
                  <c:v>45</c:v>
                </c:pt>
                <c:pt idx="131" formatCode="0.0">
                  <c:v>43.875</c:v>
                </c:pt>
                <c:pt idx="132" formatCode="0.0">
                  <c:v>42.75</c:v>
                </c:pt>
                <c:pt idx="133" formatCode="0.0">
                  <c:v>41.625</c:v>
                </c:pt>
                <c:pt idx="134" formatCode="0.0">
                  <c:v>40.5</c:v>
                </c:pt>
                <c:pt idx="135" formatCode="0.0">
                  <c:v>39.375</c:v>
                </c:pt>
                <c:pt idx="136" formatCode="0.0">
                  <c:v>38.25</c:v>
                </c:pt>
                <c:pt idx="137" formatCode="0.0">
                  <c:v>37.125</c:v>
                </c:pt>
                <c:pt idx="138" formatCode="0.0">
                  <c:v>36</c:v>
                </c:pt>
                <c:pt idx="139" formatCode="0.0">
                  <c:v>34.875</c:v>
                </c:pt>
                <c:pt idx="140" formatCode="0.0">
                  <c:v>33.75</c:v>
                </c:pt>
                <c:pt idx="141" formatCode="0.0">
                  <c:v>32.625</c:v>
                </c:pt>
                <c:pt idx="142" formatCode="0.0">
                  <c:v>31.5</c:v>
                </c:pt>
                <c:pt idx="143" formatCode="0.0">
                  <c:v>30.375</c:v>
                </c:pt>
                <c:pt idx="144" formatCode="0.0">
                  <c:v>29.25</c:v>
                </c:pt>
                <c:pt idx="145" formatCode="0.0">
                  <c:v>28.125</c:v>
                </c:pt>
                <c:pt idx="146" formatCode="0.0">
                  <c:v>27</c:v>
                </c:pt>
                <c:pt idx="147" formatCode="0.0">
                  <c:v>25.875</c:v>
                </c:pt>
                <c:pt idx="148" formatCode="0.0">
                  <c:v>24.75</c:v>
                </c:pt>
                <c:pt idx="149" formatCode="0.0">
                  <c:v>23.625</c:v>
                </c:pt>
                <c:pt idx="150" formatCode="0.0">
                  <c:v>22.5</c:v>
                </c:pt>
                <c:pt idx="151" formatCode="0.0">
                  <c:v>21.375</c:v>
                </c:pt>
                <c:pt idx="152" formatCode="0.0">
                  <c:v>20.25</c:v>
                </c:pt>
                <c:pt idx="153" formatCode="0.0">
                  <c:v>19.125</c:v>
                </c:pt>
                <c:pt idx="154" formatCode="0.0">
                  <c:v>18</c:v>
                </c:pt>
                <c:pt idx="155" formatCode="0.0">
                  <c:v>16.875</c:v>
                </c:pt>
                <c:pt idx="156" formatCode="0.0">
                  <c:v>15.75</c:v>
                </c:pt>
                <c:pt idx="157" formatCode="0.0">
                  <c:v>14.625</c:v>
                </c:pt>
                <c:pt idx="158" formatCode="0.0">
                  <c:v>13.5</c:v>
                </c:pt>
                <c:pt idx="159" formatCode="0.0">
                  <c:v>12.375</c:v>
                </c:pt>
                <c:pt idx="160" formatCode="0.0">
                  <c:v>11.25</c:v>
                </c:pt>
                <c:pt idx="161" formatCode="0.0">
                  <c:v>10.125</c:v>
                </c:pt>
                <c:pt idx="162" formatCode="0.0">
                  <c:v>9</c:v>
                </c:pt>
                <c:pt idx="163" formatCode="0.0">
                  <c:v>7.875</c:v>
                </c:pt>
                <c:pt idx="164" formatCode="0.0">
                  <c:v>6.75</c:v>
                </c:pt>
                <c:pt idx="165" formatCode="0.0">
                  <c:v>5.625</c:v>
                </c:pt>
                <c:pt idx="166" formatCode="0.0">
                  <c:v>4.5</c:v>
                </c:pt>
                <c:pt idx="167" formatCode="0.0">
                  <c:v>3.375</c:v>
                </c:pt>
                <c:pt idx="168" formatCode="0.0">
                  <c:v>2.25</c:v>
                </c:pt>
                <c:pt idx="169" formatCode="0.0">
                  <c:v>1.125</c:v>
                </c:pt>
                <c:pt idx="17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9C-48F5-91AE-E71CE2AD3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6280"/>
        <c:axId val="104015496"/>
      </c:lineChart>
      <c:catAx>
        <c:axId val="10401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PEB [kWh/(m²BGFa)]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5496"/>
        <c:crosses val="autoZero"/>
        <c:auto val="1"/>
        <c:lblAlgn val="ctr"/>
        <c:lblOffset val="100"/>
        <c:tickLblSkip val="20"/>
        <c:tickMarkSkip val="10"/>
        <c:noMultiLvlLbl val="0"/>
      </c:catAx>
      <c:valAx>
        <c:axId val="10401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6280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CO2 Sanierung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Graphik'!$S$57:$T$57</c:f>
              <c:strCache>
                <c:ptCount val="1"/>
                <c:pt idx="0">
                  <c:v>ALT CO2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Graphik'!$S$59:$S$107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'B1b Graphik'!$T$59:$T$107</c:f>
              <c:numCache>
                <c:formatCode>General</c:formatCode>
                <c:ptCount val="49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145</c:v>
                </c:pt>
                <c:pt idx="8">
                  <c:v>145</c:v>
                </c:pt>
                <c:pt idx="9">
                  <c:v>145</c:v>
                </c:pt>
                <c:pt idx="10">
                  <c:v>145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145</c:v>
                </c:pt>
                <c:pt idx="15" formatCode="0.0">
                  <c:v>140.73529411764707</c:v>
                </c:pt>
                <c:pt idx="16" formatCode="0.0">
                  <c:v>136.47058823529412</c:v>
                </c:pt>
                <c:pt idx="17" formatCode="0.0">
                  <c:v>132.20588235294119</c:v>
                </c:pt>
                <c:pt idx="18" formatCode="0.0">
                  <c:v>127.94117647058823</c:v>
                </c:pt>
                <c:pt idx="19" formatCode="0.0">
                  <c:v>123.67647058823529</c:v>
                </c:pt>
                <c:pt idx="20" formatCode="0.0">
                  <c:v>119.41176470588235</c:v>
                </c:pt>
                <c:pt idx="21" formatCode="0.0">
                  <c:v>115.14705882352942</c:v>
                </c:pt>
                <c:pt idx="22" formatCode="0.0">
                  <c:v>110.88235294117646</c:v>
                </c:pt>
                <c:pt idx="23" formatCode="0.0">
                  <c:v>106.61764705882354</c:v>
                </c:pt>
                <c:pt idx="24" formatCode="0.0">
                  <c:v>102.35294117647058</c:v>
                </c:pt>
                <c:pt idx="25" formatCode="0.0">
                  <c:v>98.088235294117652</c:v>
                </c:pt>
                <c:pt idx="26" formatCode="0.0">
                  <c:v>93.82352941176471</c:v>
                </c:pt>
                <c:pt idx="27" formatCode="0.0">
                  <c:v>89.558823529411768</c:v>
                </c:pt>
                <c:pt idx="28" formatCode="0.0">
                  <c:v>85.294117647058826</c:v>
                </c:pt>
                <c:pt idx="29" formatCode="0.0">
                  <c:v>81.029411764705884</c:v>
                </c:pt>
                <c:pt idx="30" formatCode="0.0">
                  <c:v>76.764705882352942</c:v>
                </c:pt>
                <c:pt idx="31" formatCode="0.0">
                  <c:v>72.5</c:v>
                </c:pt>
                <c:pt idx="32" formatCode="0.0">
                  <c:v>68.235294117647058</c:v>
                </c:pt>
                <c:pt idx="33" formatCode="0.0">
                  <c:v>63.970588235294116</c:v>
                </c:pt>
                <c:pt idx="34" formatCode="0.0">
                  <c:v>59.705882352941174</c:v>
                </c:pt>
                <c:pt idx="35" formatCode="0.0">
                  <c:v>55.441176470588232</c:v>
                </c:pt>
                <c:pt idx="36" formatCode="0.0">
                  <c:v>51.17647058823529</c:v>
                </c:pt>
                <c:pt idx="37" formatCode="0.0">
                  <c:v>46.911764705882348</c:v>
                </c:pt>
                <c:pt idx="38" formatCode="0.0">
                  <c:v>42.64705882352942</c:v>
                </c:pt>
                <c:pt idx="39" formatCode="0.0">
                  <c:v>38.382352941176478</c:v>
                </c:pt>
                <c:pt idx="40" formatCode="0.0">
                  <c:v>34.117647058823536</c:v>
                </c:pt>
                <c:pt idx="41" formatCode="0.0">
                  <c:v>29.852941176470594</c:v>
                </c:pt>
                <c:pt idx="42" formatCode="0.0">
                  <c:v>25.588235294117652</c:v>
                </c:pt>
                <c:pt idx="43" formatCode="0.0">
                  <c:v>21.32352941176471</c:v>
                </c:pt>
                <c:pt idx="44" formatCode="0.0">
                  <c:v>17.058823529411768</c:v>
                </c:pt>
                <c:pt idx="45" formatCode="0.0">
                  <c:v>12.794117647058812</c:v>
                </c:pt>
                <c:pt idx="46" formatCode="0.0">
                  <c:v>8.529411764705884</c:v>
                </c:pt>
                <c:pt idx="47" formatCode="0.0">
                  <c:v>4.2647058823529562</c:v>
                </c:pt>
                <c:pt idx="48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28-4B03-92D2-2A03E139F5D8}"/>
            </c:ext>
          </c:extLst>
        </c:ser>
        <c:ser>
          <c:idx val="1"/>
          <c:order val="1"/>
          <c:tx>
            <c:strRef>
              <c:f>'B1b Graphik'!$U$57:$V$57</c:f>
              <c:strCache>
                <c:ptCount val="1"/>
                <c:pt idx="0">
                  <c:v>NEU CO2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Graphik'!$S$59:$S$107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'B1b Graphik'!$V$59:$V$91</c:f>
              <c:numCache>
                <c:formatCode>0.0</c:formatCode>
                <c:ptCount val="33"/>
                <c:pt idx="0">
                  <c:v>135</c:v>
                </c:pt>
                <c:pt idx="1">
                  <c:v>130.78125</c:v>
                </c:pt>
                <c:pt idx="2">
                  <c:v>126.5625</c:v>
                </c:pt>
                <c:pt idx="3">
                  <c:v>122.34375</c:v>
                </c:pt>
                <c:pt idx="4">
                  <c:v>118.125</c:v>
                </c:pt>
                <c:pt idx="5">
                  <c:v>113.90625</c:v>
                </c:pt>
                <c:pt idx="6">
                  <c:v>109.6875</c:v>
                </c:pt>
                <c:pt idx="7">
                  <c:v>105.46875</c:v>
                </c:pt>
                <c:pt idx="8">
                  <c:v>101.25</c:v>
                </c:pt>
                <c:pt idx="9">
                  <c:v>97.03125</c:v>
                </c:pt>
                <c:pt idx="10">
                  <c:v>92.8125</c:v>
                </c:pt>
                <c:pt idx="11">
                  <c:v>88.59375</c:v>
                </c:pt>
                <c:pt idx="12">
                  <c:v>84.375</c:v>
                </c:pt>
                <c:pt idx="13">
                  <c:v>80.15625</c:v>
                </c:pt>
                <c:pt idx="14">
                  <c:v>75.9375</c:v>
                </c:pt>
                <c:pt idx="15">
                  <c:v>71.71875</c:v>
                </c:pt>
                <c:pt idx="16">
                  <c:v>67.5</c:v>
                </c:pt>
                <c:pt idx="17">
                  <c:v>63.28125</c:v>
                </c:pt>
                <c:pt idx="18">
                  <c:v>59.0625</c:v>
                </c:pt>
                <c:pt idx="19">
                  <c:v>54.84375</c:v>
                </c:pt>
                <c:pt idx="20">
                  <c:v>50.625</c:v>
                </c:pt>
                <c:pt idx="21">
                  <c:v>46.40625</c:v>
                </c:pt>
                <c:pt idx="22">
                  <c:v>42.1875</c:v>
                </c:pt>
                <c:pt idx="23">
                  <c:v>37.96875</c:v>
                </c:pt>
                <c:pt idx="24">
                  <c:v>33.75</c:v>
                </c:pt>
                <c:pt idx="25">
                  <c:v>29.53125</c:v>
                </c:pt>
                <c:pt idx="26">
                  <c:v>25.3125</c:v>
                </c:pt>
                <c:pt idx="27">
                  <c:v>21.09375</c:v>
                </c:pt>
                <c:pt idx="28">
                  <c:v>16.875</c:v>
                </c:pt>
                <c:pt idx="29">
                  <c:v>12.65625</c:v>
                </c:pt>
                <c:pt idx="30">
                  <c:v>8.4375</c:v>
                </c:pt>
                <c:pt idx="31">
                  <c:v>4.21875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28-4B03-92D2-2A03E139F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4712"/>
        <c:axId val="104016672"/>
      </c:lineChart>
      <c:catAx>
        <c:axId val="10401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CO2 [kg/(m²BGFa)]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6672"/>
        <c:crosses val="autoZero"/>
        <c:auto val="1"/>
        <c:lblAlgn val="ctr"/>
        <c:lblOffset val="100"/>
        <c:tickLblSkip val="2"/>
        <c:noMultiLvlLbl val="0"/>
      </c:catAx>
      <c:valAx>
        <c:axId val="104016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4712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KB Neubau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Graphik'!$J$84</c:f>
              <c:strCache>
                <c:ptCount val="1"/>
                <c:pt idx="0">
                  <c:v>Punkte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Graphik'!$I$85:$I$135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cat>
          <c:val>
            <c:numRef>
              <c:f>'B1b Graphik'!$J$85:$J$135</c:f>
              <c:numCache>
                <c:formatCode>General</c:formatCode>
                <c:ptCount val="5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 formatCode="0.0">
                  <c:v>48.333333333333336</c:v>
                </c:pt>
                <c:pt idx="22" formatCode="0.0">
                  <c:v>46.666666666666664</c:v>
                </c:pt>
                <c:pt idx="23" formatCode="0.0">
                  <c:v>45</c:v>
                </c:pt>
                <c:pt idx="24" formatCode="0.0">
                  <c:v>43.333333333333336</c:v>
                </c:pt>
                <c:pt idx="25" formatCode="0.0">
                  <c:v>41.666666666666664</c:v>
                </c:pt>
                <c:pt idx="26" formatCode="0.0">
                  <c:v>40</c:v>
                </c:pt>
                <c:pt idx="27" formatCode="0.0">
                  <c:v>38.333333333333329</c:v>
                </c:pt>
                <c:pt idx="28" formatCode="0.0">
                  <c:v>36.666666666666664</c:v>
                </c:pt>
                <c:pt idx="29" formatCode="0.0">
                  <c:v>35</c:v>
                </c:pt>
                <c:pt idx="30" formatCode="0.0">
                  <c:v>33.333333333333329</c:v>
                </c:pt>
                <c:pt idx="31" formatCode="0.0">
                  <c:v>31.666666666666664</c:v>
                </c:pt>
                <c:pt idx="32" formatCode="0.0">
                  <c:v>30</c:v>
                </c:pt>
                <c:pt idx="33" formatCode="0.0">
                  <c:v>28.333333333333332</c:v>
                </c:pt>
                <c:pt idx="34" formatCode="0.0">
                  <c:v>26.666666666666664</c:v>
                </c:pt>
                <c:pt idx="35" formatCode="0.0">
                  <c:v>25</c:v>
                </c:pt>
                <c:pt idx="36" formatCode="0.0">
                  <c:v>23.333333333333332</c:v>
                </c:pt>
                <c:pt idx="37" formatCode="0.0">
                  <c:v>21.666666666666664</c:v>
                </c:pt>
                <c:pt idx="38" formatCode="0.0">
                  <c:v>20</c:v>
                </c:pt>
                <c:pt idx="39" formatCode="0.0">
                  <c:v>18.333333333333332</c:v>
                </c:pt>
                <c:pt idx="40" formatCode="0.0">
                  <c:v>16.666666666666664</c:v>
                </c:pt>
                <c:pt idx="41" formatCode="0.0">
                  <c:v>15</c:v>
                </c:pt>
                <c:pt idx="42" formatCode="0.0">
                  <c:v>13.333333333333329</c:v>
                </c:pt>
                <c:pt idx="43" formatCode="0.0">
                  <c:v>11.666666666666664</c:v>
                </c:pt>
                <c:pt idx="44" formatCode="0.0">
                  <c:v>10</c:v>
                </c:pt>
                <c:pt idx="45" formatCode="0.0">
                  <c:v>8.3333333333333286</c:v>
                </c:pt>
                <c:pt idx="46" formatCode="0.0">
                  <c:v>6.6666666666666643</c:v>
                </c:pt>
                <c:pt idx="47" formatCode="0.0">
                  <c:v>5</c:v>
                </c:pt>
                <c:pt idx="48" formatCode="0.0">
                  <c:v>3.3333333333333286</c:v>
                </c:pt>
                <c:pt idx="49" formatCode="0.0">
                  <c:v>1.6666666666666643</c:v>
                </c:pt>
                <c:pt idx="5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60-43AD-B0DE-8B10512B8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7064"/>
        <c:axId val="104017456"/>
      </c:lineChart>
      <c:catAx>
        <c:axId val="10401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KB [kWh/(m²EBFa)]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7456"/>
        <c:crosses val="autoZero"/>
        <c:auto val="1"/>
        <c:lblAlgn val="ctr"/>
        <c:lblOffset val="100"/>
        <c:noMultiLvlLbl val="0"/>
      </c:catAx>
      <c:valAx>
        <c:axId val="104017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7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KB Sanierung</a:t>
            </a:r>
          </a:p>
        </c:rich>
      </c:tx>
      <c:layout>
        <c:manualLayout>
          <c:xMode val="edge"/>
          <c:yMode val="edge"/>
          <c:x val="0.41870822397200352"/>
          <c:y val="3.240740740740740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Graphik'!$V$92</c:f>
              <c:strCache>
                <c:ptCount val="1"/>
                <c:pt idx="0">
                  <c:v>Punkte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Graphik'!$U$93:$U$143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cat>
          <c:val>
            <c:numRef>
              <c:f>'B1b Graphik'!$V$93:$V$143</c:f>
              <c:numCache>
                <c:formatCode>General</c:formatCode>
                <c:ptCount val="5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 formatCode="0.0">
                  <c:v>48.333333333333336</c:v>
                </c:pt>
                <c:pt idx="22" formatCode="0.0">
                  <c:v>46.666666666666664</c:v>
                </c:pt>
                <c:pt idx="23" formatCode="0.0">
                  <c:v>45</c:v>
                </c:pt>
                <c:pt idx="24" formatCode="0.0">
                  <c:v>43.333333333333336</c:v>
                </c:pt>
                <c:pt idx="25" formatCode="0.0">
                  <c:v>41.666666666666664</c:v>
                </c:pt>
                <c:pt idx="26" formatCode="0.0">
                  <c:v>40</c:v>
                </c:pt>
                <c:pt idx="27" formatCode="0.0">
                  <c:v>38.333333333333329</c:v>
                </c:pt>
                <c:pt idx="28" formatCode="0.0">
                  <c:v>36.666666666666664</c:v>
                </c:pt>
                <c:pt idx="29" formatCode="0.0">
                  <c:v>35</c:v>
                </c:pt>
                <c:pt idx="30" formatCode="0.0">
                  <c:v>33.333333333333329</c:v>
                </c:pt>
                <c:pt idx="31" formatCode="0.0">
                  <c:v>31.666666666666664</c:v>
                </c:pt>
                <c:pt idx="32" formatCode="0.0">
                  <c:v>30</c:v>
                </c:pt>
                <c:pt idx="33" formatCode="0.0">
                  <c:v>28.333333333333332</c:v>
                </c:pt>
                <c:pt idx="34" formatCode="0.0">
                  <c:v>26.666666666666664</c:v>
                </c:pt>
                <c:pt idx="35" formatCode="0.0">
                  <c:v>25</c:v>
                </c:pt>
                <c:pt idx="36" formatCode="0.0">
                  <c:v>23.333333333333332</c:v>
                </c:pt>
                <c:pt idx="37" formatCode="0.0">
                  <c:v>21.666666666666664</c:v>
                </c:pt>
                <c:pt idx="38" formatCode="0.0">
                  <c:v>20</c:v>
                </c:pt>
                <c:pt idx="39" formatCode="0.0">
                  <c:v>18.333333333333332</c:v>
                </c:pt>
                <c:pt idx="40" formatCode="0.0">
                  <c:v>16.666666666666664</c:v>
                </c:pt>
                <c:pt idx="41" formatCode="0.0">
                  <c:v>15</c:v>
                </c:pt>
                <c:pt idx="42" formatCode="0.0">
                  <c:v>13.333333333333329</c:v>
                </c:pt>
                <c:pt idx="43" formatCode="0.0">
                  <c:v>11.666666666666664</c:v>
                </c:pt>
                <c:pt idx="44" formatCode="0.0">
                  <c:v>10</c:v>
                </c:pt>
                <c:pt idx="45" formatCode="0.0">
                  <c:v>8.3333333333333286</c:v>
                </c:pt>
                <c:pt idx="46" formatCode="0.0">
                  <c:v>6.6666666666666643</c:v>
                </c:pt>
                <c:pt idx="47" formatCode="0.0">
                  <c:v>5</c:v>
                </c:pt>
                <c:pt idx="48" formatCode="0.0">
                  <c:v>3.3333333333333286</c:v>
                </c:pt>
                <c:pt idx="49" formatCode="0.0">
                  <c:v>1.6666666666666643</c:v>
                </c:pt>
                <c:pt idx="5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4B-4512-88F9-DE217DB30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0792"/>
        <c:axId val="104012360"/>
      </c:lineChart>
      <c:catAx>
        <c:axId val="10401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KB [kWh/(m²EBFa)]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2360"/>
        <c:crosses val="autoZero"/>
        <c:auto val="1"/>
        <c:lblAlgn val="ctr"/>
        <c:lblOffset val="100"/>
        <c:noMultiLvlLbl val="0"/>
      </c:catAx>
      <c:valAx>
        <c:axId val="104012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010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>
                <a:latin typeface="Arial"/>
                <a:cs typeface="Arial"/>
              </a:rPr>
              <a:t>Primärenergiebedarf Sanierung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Graphik'!$L$57</c:f>
              <c:strCache>
                <c:ptCount val="1"/>
                <c:pt idx="0">
                  <c:v>Punkte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'B1 Graphik'!$K$58:$K$98</c:f>
              <c:numCache>
                <c:formatCode>General</c:formatCode>
                <c:ptCount val="4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</c:numCache>
            </c:numRef>
          </c:cat>
          <c:val>
            <c:numRef>
              <c:f>'B1 Graphik'!$L$58:$L$98</c:f>
              <c:numCache>
                <c:formatCode>General</c:formatCode>
                <c:ptCount val="4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 formatCode="0.0">
                  <c:v>130.17857142857142</c:v>
                </c:pt>
                <c:pt idx="14" formatCode="0.0">
                  <c:v>125.35714285714286</c:v>
                </c:pt>
                <c:pt idx="15" formatCode="0.0">
                  <c:v>120.53571428571428</c:v>
                </c:pt>
                <c:pt idx="16" formatCode="0.0">
                  <c:v>115.71428571428572</c:v>
                </c:pt>
                <c:pt idx="17" formatCode="0.0">
                  <c:v>110.89285714285714</c:v>
                </c:pt>
                <c:pt idx="18" formatCode="0.0">
                  <c:v>106.07142857142857</c:v>
                </c:pt>
                <c:pt idx="19" formatCode="0.0">
                  <c:v>101.25</c:v>
                </c:pt>
                <c:pt idx="20" formatCode="0.0">
                  <c:v>96.428571428571431</c:v>
                </c:pt>
                <c:pt idx="21" formatCode="0.0">
                  <c:v>91.607142857142861</c:v>
                </c:pt>
                <c:pt idx="22" formatCode="0.0">
                  <c:v>86.785714285714278</c:v>
                </c:pt>
                <c:pt idx="23" formatCode="0.0">
                  <c:v>81.964285714285722</c:v>
                </c:pt>
                <c:pt idx="24" formatCode="0.0">
                  <c:v>77.142857142857139</c:v>
                </c:pt>
                <c:pt idx="25" formatCode="0.0">
                  <c:v>72.321428571428569</c:v>
                </c:pt>
                <c:pt idx="26" formatCode="0.0">
                  <c:v>67.5</c:v>
                </c:pt>
                <c:pt idx="27" formatCode="0.0">
                  <c:v>62.678571428571431</c:v>
                </c:pt>
                <c:pt idx="28" formatCode="0.0">
                  <c:v>57.857142857142861</c:v>
                </c:pt>
                <c:pt idx="29" formatCode="0.0">
                  <c:v>53.035714285714278</c:v>
                </c:pt>
                <c:pt idx="30" formatCode="0.0">
                  <c:v>48.214285714285708</c:v>
                </c:pt>
                <c:pt idx="31" formatCode="0.0">
                  <c:v>43.392857142857139</c:v>
                </c:pt>
                <c:pt idx="32" formatCode="0.0">
                  <c:v>38.571428571428569</c:v>
                </c:pt>
                <c:pt idx="33" formatCode="0.0">
                  <c:v>33.75</c:v>
                </c:pt>
                <c:pt idx="34" formatCode="0.0">
                  <c:v>28.928571428571431</c:v>
                </c:pt>
                <c:pt idx="35" formatCode="0.0">
                  <c:v>24.107142857142861</c:v>
                </c:pt>
                <c:pt idx="36" formatCode="0.0">
                  <c:v>19.285714285714278</c:v>
                </c:pt>
                <c:pt idx="37" formatCode="0.0">
                  <c:v>14.464285714285708</c:v>
                </c:pt>
                <c:pt idx="38" formatCode="0.0">
                  <c:v>9.6428571428571388</c:v>
                </c:pt>
                <c:pt idx="39" formatCode="0.0">
                  <c:v>4.8214285714285552</c:v>
                </c:pt>
                <c:pt idx="4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9-41F6-A453-12D50B0BA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238752"/>
        <c:axId val="139239536"/>
      </c:lineChart>
      <c:catAx>
        <c:axId val="13923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PE [kWh/(m²EBFa)]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39536"/>
        <c:crosses val="autoZero"/>
        <c:auto val="1"/>
        <c:lblAlgn val="ctr"/>
        <c:lblOffset val="100"/>
        <c:noMultiLvlLbl val="0"/>
      </c:catAx>
      <c:valAx>
        <c:axId val="139239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38752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Punkte CO2 Sanierung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Graphik'!$N$57</c:f>
              <c:strCache>
                <c:ptCount val="1"/>
                <c:pt idx="0">
                  <c:v>Punkte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 Graphik'!$M$58:$M$148</c:f>
              <c:numCache>
                <c:formatCode>General</c:formatCode>
                <c:ptCount val="9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</c:numCache>
            </c:numRef>
          </c:cat>
          <c:val>
            <c:numRef>
              <c:f>'B1 Graphik'!$N$58:$N$148</c:f>
              <c:numCache>
                <c:formatCode>General</c:formatCode>
                <c:ptCount val="9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>
                  <c:v>135</c:v>
                </c:pt>
                <c:pt idx="28">
                  <c:v>135</c:v>
                </c:pt>
                <c:pt idx="29">
                  <c:v>135</c:v>
                </c:pt>
                <c:pt idx="30">
                  <c:v>135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135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>
                  <c:v>135</c:v>
                </c:pt>
                <c:pt idx="52">
                  <c:v>135</c:v>
                </c:pt>
                <c:pt idx="53">
                  <c:v>135</c:v>
                </c:pt>
                <c:pt idx="54">
                  <c:v>135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 formatCode="0.0">
                  <c:v>130.90909090909091</c:v>
                </c:pt>
                <c:pt idx="59" formatCode="0.0">
                  <c:v>126.81818181818181</c:v>
                </c:pt>
                <c:pt idx="60" formatCode="0.0">
                  <c:v>122.72727272727272</c:v>
                </c:pt>
                <c:pt idx="61" formatCode="0.0">
                  <c:v>118.63636363636364</c:v>
                </c:pt>
                <c:pt idx="62" formatCode="0.0">
                  <c:v>114.54545454545455</c:v>
                </c:pt>
                <c:pt idx="63" formatCode="0.0">
                  <c:v>110.45454545454545</c:v>
                </c:pt>
                <c:pt idx="64" formatCode="0.0">
                  <c:v>106.36363636363636</c:v>
                </c:pt>
                <c:pt idx="65" formatCode="0.0">
                  <c:v>102.27272727272728</c:v>
                </c:pt>
                <c:pt idx="66" formatCode="0.0">
                  <c:v>98.181818181818187</c:v>
                </c:pt>
                <c:pt idx="67" formatCode="0.0">
                  <c:v>94.090909090909093</c:v>
                </c:pt>
                <c:pt idx="68" formatCode="0.0">
                  <c:v>90</c:v>
                </c:pt>
                <c:pt idx="69" formatCode="0.0">
                  <c:v>85.909090909090907</c:v>
                </c:pt>
                <c:pt idx="70" formatCode="0.0">
                  <c:v>81.818181818181813</c:v>
                </c:pt>
                <c:pt idx="71" formatCode="0.0">
                  <c:v>77.72727272727272</c:v>
                </c:pt>
                <c:pt idx="72" formatCode="0.0">
                  <c:v>73.63636363636364</c:v>
                </c:pt>
                <c:pt idx="73" formatCode="0.0">
                  <c:v>69.545454545454547</c:v>
                </c:pt>
                <c:pt idx="74" formatCode="0.0">
                  <c:v>65.454545454545453</c:v>
                </c:pt>
                <c:pt idx="75" formatCode="0.0">
                  <c:v>61.36363636363636</c:v>
                </c:pt>
                <c:pt idx="76" formatCode="0.0">
                  <c:v>57.27272727272728</c:v>
                </c:pt>
                <c:pt idx="77" formatCode="0.0">
                  <c:v>53.181818181818187</c:v>
                </c:pt>
                <c:pt idx="78" formatCode="0.0">
                  <c:v>49.090909090909093</c:v>
                </c:pt>
                <c:pt idx="79" formatCode="0.0">
                  <c:v>45</c:v>
                </c:pt>
                <c:pt idx="80" formatCode="0.0">
                  <c:v>40.909090909090907</c:v>
                </c:pt>
                <c:pt idx="81" formatCode="0.0">
                  <c:v>36.818181818181813</c:v>
                </c:pt>
                <c:pt idx="82" formatCode="0.0">
                  <c:v>32.727272727272734</c:v>
                </c:pt>
                <c:pt idx="83" formatCode="0.0">
                  <c:v>28.63636363636364</c:v>
                </c:pt>
                <c:pt idx="84" formatCode="0.0">
                  <c:v>24.545454545454547</c:v>
                </c:pt>
                <c:pt idx="85" formatCode="0.0">
                  <c:v>20.454545454545453</c:v>
                </c:pt>
                <c:pt idx="86" formatCode="0.0">
                  <c:v>16.36363636363636</c:v>
                </c:pt>
                <c:pt idx="87" formatCode="0.0">
                  <c:v>12.27272727272728</c:v>
                </c:pt>
                <c:pt idx="88" formatCode="0.0">
                  <c:v>8.181818181818187</c:v>
                </c:pt>
                <c:pt idx="89" formatCode="0.0">
                  <c:v>4.0909090909090935</c:v>
                </c:pt>
                <c:pt idx="9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BC-4EC6-BC81-CCB28CEA4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240320"/>
        <c:axId val="139241104"/>
      </c:lineChart>
      <c:catAx>
        <c:axId val="1392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CO2 [kg/(m²EBFa)]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41104"/>
        <c:crosses val="autoZero"/>
        <c:auto val="1"/>
        <c:lblAlgn val="ctr"/>
        <c:lblOffset val="100"/>
        <c:noMultiLvlLbl val="0"/>
      </c:catAx>
      <c:valAx>
        <c:axId val="139241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40320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HWB Neubau</a:t>
            </a:r>
          </a:p>
        </c:rich>
      </c:tx>
      <c:layout>
        <c:manualLayout>
          <c:xMode val="edge"/>
          <c:yMode val="edge"/>
          <c:x val="0.46251681075888568"/>
          <c:y val="3.196347031963470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Graphik'!$B$57</c:f>
              <c:strCache>
                <c:ptCount val="1"/>
                <c:pt idx="0">
                  <c:v>Punkte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'B1 Graphik'!$A$58:$A$103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</c:numCache>
            </c:numRef>
          </c:cat>
          <c:val>
            <c:numRef>
              <c:f>'B1 Graphik'!$B$58:$B$103</c:f>
              <c:numCache>
                <c:formatCode>0.0</c:formatCode>
                <c:ptCount val="46"/>
                <c:pt idx="0">
                  <c:v>125</c:v>
                </c:pt>
                <c:pt idx="1">
                  <c:v>125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125</c:v>
                </c:pt>
                <c:pt idx="16">
                  <c:v>120.83333333333333</c:v>
                </c:pt>
                <c:pt idx="17">
                  <c:v>116.66666666666667</c:v>
                </c:pt>
                <c:pt idx="18">
                  <c:v>112.5</c:v>
                </c:pt>
                <c:pt idx="19">
                  <c:v>108.33333333333333</c:v>
                </c:pt>
                <c:pt idx="20">
                  <c:v>104.16666666666666</c:v>
                </c:pt>
                <c:pt idx="21">
                  <c:v>100</c:v>
                </c:pt>
                <c:pt idx="22">
                  <c:v>95.833333333333329</c:v>
                </c:pt>
                <c:pt idx="23">
                  <c:v>91.666666666666657</c:v>
                </c:pt>
                <c:pt idx="24">
                  <c:v>87.5</c:v>
                </c:pt>
                <c:pt idx="25">
                  <c:v>83.333333333333329</c:v>
                </c:pt>
                <c:pt idx="26">
                  <c:v>79.166666666666657</c:v>
                </c:pt>
                <c:pt idx="27">
                  <c:v>75</c:v>
                </c:pt>
                <c:pt idx="28">
                  <c:v>70.833333333333329</c:v>
                </c:pt>
                <c:pt idx="29">
                  <c:v>66.666666666666657</c:v>
                </c:pt>
                <c:pt idx="30">
                  <c:v>62.499999999999993</c:v>
                </c:pt>
                <c:pt idx="31">
                  <c:v>58.333333333333329</c:v>
                </c:pt>
                <c:pt idx="32">
                  <c:v>54.166666666666657</c:v>
                </c:pt>
                <c:pt idx="33">
                  <c:v>50</c:v>
                </c:pt>
                <c:pt idx="34">
                  <c:v>45.833333333333329</c:v>
                </c:pt>
                <c:pt idx="35">
                  <c:v>41.666666666666657</c:v>
                </c:pt>
                <c:pt idx="36">
                  <c:v>37.5</c:v>
                </c:pt>
                <c:pt idx="37">
                  <c:v>33.333333333333329</c:v>
                </c:pt>
                <c:pt idx="38">
                  <c:v>29.166666666666657</c:v>
                </c:pt>
                <c:pt idx="39">
                  <c:v>25</c:v>
                </c:pt>
                <c:pt idx="40">
                  <c:v>20.833333333333329</c:v>
                </c:pt>
                <c:pt idx="41">
                  <c:v>16.666666666666657</c:v>
                </c:pt>
                <c:pt idx="42">
                  <c:v>12.499999999999986</c:v>
                </c:pt>
                <c:pt idx="43">
                  <c:v>8.3333333333333286</c:v>
                </c:pt>
                <c:pt idx="44">
                  <c:v>4.1666666666666572</c:v>
                </c:pt>
                <c:pt idx="4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47-49F2-94DC-820738C8A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235224"/>
        <c:axId val="139235616"/>
      </c:lineChart>
      <c:catAx>
        <c:axId val="13923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HWB [kWh/(m²EBFa)]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235616"/>
        <c:crosses val="autoZero"/>
        <c:auto val="1"/>
        <c:lblAlgn val="ctr"/>
        <c:lblOffset val="100"/>
        <c:noMultiLvlLbl val="0"/>
      </c:catAx>
      <c:valAx>
        <c:axId val="139235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39235224"/>
        <c:crosses val="autoZero"/>
        <c:crossBetween val="midCat"/>
        <c:majorUnit val="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Primärenergiebedarf Neubau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Graphik'!$D$57</c:f>
              <c:strCache>
                <c:ptCount val="1"/>
                <c:pt idx="0">
                  <c:v>Punkte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'B1 Graphik'!$C$58:$C$94</c:f>
              <c:numCache>
                <c:formatCode>0</c:formatCode>
                <c:ptCount val="3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</c:numCache>
            </c:numRef>
          </c:cat>
          <c:val>
            <c:numRef>
              <c:f>'B1 Graphik'!$D$58:$D$94</c:f>
              <c:numCache>
                <c:formatCode>0.0</c:formatCode>
                <c:ptCount val="37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129.375</c:v>
                </c:pt>
                <c:pt idx="14">
                  <c:v>123.75</c:v>
                </c:pt>
                <c:pt idx="15">
                  <c:v>118.125</c:v>
                </c:pt>
                <c:pt idx="16">
                  <c:v>112.5</c:v>
                </c:pt>
                <c:pt idx="17">
                  <c:v>106.875</c:v>
                </c:pt>
                <c:pt idx="18">
                  <c:v>101.25</c:v>
                </c:pt>
                <c:pt idx="19">
                  <c:v>95.625</c:v>
                </c:pt>
                <c:pt idx="20">
                  <c:v>90</c:v>
                </c:pt>
                <c:pt idx="21">
                  <c:v>84.375</c:v>
                </c:pt>
                <c:pt idx="22">
                  <c:v>78.75</c:v>
                </c:pt>
                <c:pt idx="23">
                  <c:v>73.125</c:v>
                </c:pt>
                <c:pt idx="24">
                  <c:v>67.5</c:v>
                </c:pt>
                <c:pt idx="25">
                  <c:v>61.875</c:v>
                </c:pt>
                <c:pt idx="26">
                  <c:v>56.25</c:v>
                </c:pt>
                <c:pt idx="27">
                  <c:v>50.625</c:v>
                </c:pt>
                <c:pt idx="28">
                  <c:v>45</c:v>
                </c:pt>
                <c:pt idx="29">
                  <c:v>39.375</c:v>
                </c:pt>
                <c:pt idx="30">
                  <c:v>33.75</c:v>
                </c:pt>
                <c:pt idx="31">
                  <c:v>28.125</c:v>
                </c:pt>
                <c:pt idx="32">
                  <c:v>22.5</c:v>
                </c:pt>
                <c:pt idx="33">
                  <c:v>16.875</c:v>
                </c:pt>
                <c:pt idx="34">
                  <c:v>11.25</c:v>
                </c:pt>
                <c:pt idx="35">
                  <c:v>5.625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03-49E1-9C3B-F64D0E1C4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7088"/>
        <c:axId val="103367480"/>
      </c:lineChart>
      <c:catAx>
        <c:axId val="10336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PE [kWh/(m²EBFa)]</a:t>
                </a:r>
                <a:endParaRPr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3367480"/>
        <c:crosses val="autoZero"/>
        <c:auto val="1"/>
        <c:lblAlgn val="ctr"/>
        <c:lblOffset val="100"/>
        <c:noMultiLvlLbl val="0"/>
      </c:catAx>
      <c:valAx>
        <c:axId val="103367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7088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Punkte CO2 Neubau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Graphik'!$F$57</c:f>
              <c:strCache>
                <c:ptCount val="1"/>
                <c:pt idx="0">
                  <c:v>Punkte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'B1 Graphik'!$E$58:$E$103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25.5</c:v>
                </c:pt>
                <c:pt idx="27">
                  <c:v>26</c:v>
                </c:pt>
                <c:pt idx="28">
                  <c:v>26.5</c:v>
                </c:pt>
                <c:pt idx="29">
                  <c:v>27</c:v>
                </c:pt>
                <c:pt idx="30">
                  <c:v>27.5</c:v>
                </c:pt>
                <c:pt idx="31">
                  <c:v>28</c:v>
                </c:pt>
                <c:pt idx="32">
                  <c:v>28.5</c:v>
                </c:pt>
                <c:pt idx="33">
                  <c:v>29</c:v>
                </c:pt>
                <c:pt idx="34">
                  <c:v>29.5</c:v>
                </c:pt>
                <c:pt idx="35">
                  <c:v>30</c:v>
                </c:pt>
                <c:pt idx="36">
                  <c:v>30.5</c:v>
                </c:pt>
                <c:pt idx="37">
                  <c:v>31</c:v>
                </c:pt>
                <c:pt idx="38">
                  <c:v>31.5</c:v>
                </c:pt>
                <c:pt idx="39">
                  <c:v>32</c:v>
                </c:pt>
                <c:pt idx="40">
                  <c:v>32.5</c:v>
                </c:pt>
                <c:pt idx="41">
                  <c:v>33</c:v>
                </c:pt>
                <c:pt idx="42">
                  <c:v>33.5</c:v>
                </c:pt>
                <c:pt idx="43">
                  <c:v>34</c:v>
                </c:pt>
                <c:pt idx="44">
                  <c:v>34.5</c:v>
                </c:pt>
                <c:pt idx="45">
                  <c:v>35</c:v>
                </c:pt>
              </c:numCache>
            </c:numRef>
          </c:cat>
          <c:val>
            <c:numRef>
              <c:f>'B1 Graphik'!$F$58:$F$103</c:f>
              <c:numCache>
                <c:formatCode>General</c:formatCode>
                <c:ptCount val="46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 formatCode="0.0">
                  <c:v>127.89473684210526</c:v>
                </c:pt>
                <c:pt idx="28" formatCode="0.0">
                  <c:v>120.78947368421052</c:v>
                </c:pt>
                <c:pt idx="29" formatCode="0.0">
                  <c:v>113.68421052631578</c:v>
                </c:pt>
                <c:pt idx="30" formatCode="0.0">
                  <c:v>106.57894736842105</c:v>
                </c:pt>
                <c:pt idx="31" formatCode="0.0">
                  <c:v>99.473684210526315</c:v>
                </c:pt>
                <c:pt idx="32" formatCode="0.0">
                  <c:v>92.368421052631575</c:v>
                </c:pt>
                <c:pt idx="33" formatCode="0.0">
                  <c:v>85.26315789473685</c:v>
                </c:pt>
                <c:pt idx="34" formatCode="0.0">
                  <c:v>78.15789473684211</c:v>
                </c:pt>
                <c:pt idx="35" formatCode="0.0">
                  <c:v>71.05263157894737</c:v>
                </c:pt>
                <c:pt idx="36" formatCode="0.0">
                  <c:v>63.94736842105263</c:v>
                </c:pt>
                <c:pt idx="37" formatCode="0.0">
                  <c:v>56.84210526315789</c:v>
                </c:pt>
                <c:pt idx="38" formatCode="0.0">
                  <c:v>49.73684210526315</c:v>
                </c:pt>
                <c:pt idx="39" formatCode="0.0">
                  <c:v>42.631578947368411</c:v>
                </c:pt>
                <c:pt idx="40" formatCode="0.0">
                  <c:v>35.526315789473685</c:v>
                </c:pt>
                <c:pt idx="41" formatCode="0.0">
                  <c:v>28.421052631578945</c:v>
                </c:pt>
                <c:pt idx="42" formatCode="0.0">
                  <c:v>21.315789473684205</c:v>
                </c:pt>
                <c:pt idx="43" formatCode="0.0">
                  <c:v>14.210526315789465</c:v>
                </c:pt>
                <c:pt idx="44" formatCode="0.0">
                  <c:v>7.1052631578947256</c:v>
                </c:pt>
                <c:pt idx="45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AC-4E1C-B7C8-9CF3DE2EF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7872"/>
        <c:axId val="103370224"/>
      </c:lineChart>
      <c:catAx>
        <c:axId val="10336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CO2 [kg/(m²EBFa)]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370224"/>
        <c:crosses val="autoZero"/>
        <c:auto val="1"/>
        <c:lblAlgn val="ctr"/>
        <c:lblOffset val="100"/>
        <c:noMultiLvlLbl val="0"/>
      </c:catAx>
      <c:valAx>
        <c:axId val="103370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367872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Punkte KB Neubau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Graphik'!$D$95</c:f>
              <c:strCache>
                <c:ptCount val="1"/>
                <c:pt idx="0">
                  <c:v>Punkte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'B1 Graphik'!$C$96:$C$101</c:f>
              <c:numCache>
                <c:formatCode>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'B1 Graphik'!$D$96:$D$101</c:f>
              <c:numCache>
                <c:formatCode>0.0</c:formatCode>
                <c:ptCount val="6"/>
                <c:pt idx="0">
                  <c:v>75</c:v>
                </c:pt>
                <c:pt idx="1">
                  <c:v>60</c:v>
                </c:pt>
                <c:pt idx="2">
                  <c:v>45</c:v>
                </c:pt>
                <c:pt idx="3">
                  <c:v>30</c:v>
                </c:pt>
                <c:pt idx="4">
                  <c:v>15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90-4654-AADB-525340476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8264"/>
        <c:axId val="103370616"/>
      </c:lineChart>
      <c:catAx>
        <c:axId val="10336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KB [kWh/(m²a)]</a:t>
                </a:r>
                <a:endParaRPr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3370616"/>
        <c:crosses val="autoZero"/>
        <c:auto val="1"/>
        <c:lblAlgn val="ctr"/>
        <c:lblOffset val="100"/>
        <c:noMultiLvlLbl val="0"/>
      </c:catAx>
      <c:valAx>
        <c:axId val="103370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8264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Punkte KB Sanierung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 Graphik'!$L$99</c:f>
              <c:strCache>
                <c:ptCount val="1"/>
                <c:pt idx="0">
                  <c:v>Punkte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 Graphik'!$K$100:$K$110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'B1 Graphik'!$L$100:$L$110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65.625</c:v>
                </c:pt>
                <c:pt idx="4">
                  <c:v>56.25</c:v>
                </c:pt>
                <c:pt idx="5">
                  <c:v>46.875</c:v>
                </c:pt>
                <c:pt idx="6">
                  <c:v>37.5</c:v>
                </c:pt>
                <c:pt idx="7">
                  <c:v>28.125</c:v>
                </c:pt>
                <c:pt idx="8">
                  <c:v>18.75</c:v>
                </c:pt>
                <c:pt idx="9">
                  <c:v>9.375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43-4869-8B61-503FE3F04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9440"/>
        <c:axId val="103369832"/>
      </c:lineChart>
      <c:catAx>
        <c:axId val="1033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KB [kWh/(m²a)]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369832"/>
        <c:crosses val="autoZero"/>
        <c:auto val="1"/>
        <c:lblAlgn val="ctr"/>
        <c:lblOffset val="100"/>
        <c:noMultiLvlLbl val="0"/>
      </c:catAx>
      <c:valAx>
        <c:axId val="103369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Punktervergabe</a:t>
                </a:r>
                <a:endParaRPr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9440"/>
        <c:crosses val="autoZero"/>
        <c:crossBetween val="midCat"/>
        <c:majorUnit val="1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>
                <a:latin typeface="Arial"/>
                <a:cs typeface="Arial"/>
              </a:rPr>
              <a:t>PEB Neubau</a:t>
            </a:r>
            <a:endParaRPr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Graphik'!$E$56:$E$57</c:f>
              <c:strCache>
                <c:ptCount val="2"/>
                <c:pt idx="0">
                  <c:v>NEU</c:v>
                </c:pt>
                <c:pt idx="1">
                  <c:v>PEB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Graphik'!$C$58:$C$278</c:f>
              <c:numCache>
                <c:formatCode>General</c:formatCode>
                <c:ptCount val="2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</c:numCache>
            </c:numRef>
          </c:cat>
          <c:val>
            <c:numRef>
              <c:f>'B1b Graphik'!$F$58:$F$188</c:f>
              <c:numCache>
                <c:formatCode>General</c:formatCode>
                <c:ptCount val="13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>
                  <c:v>135</c:v>
                </c:pt>
                <c:pt idx="28">
                  <c:v>135</c:v>
                </c:pt>
                <c:pt idx="29">
                  <c:v>135</c:v>
                </c:pt>
                <c:pt idx="30">
                  <c:v>135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135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 formatCode="0.0">
                  <c:v>133.3125</c:v>
                </c:pt>
                <c:pt idx="52" formatCode="0.0">
                  <c:v>131.625</c:v>
                </c:pt>
                <c:pt idx="53" formatCode="0.0">
                  <c:v>129.9375</c:v>
                </c:pt>
                <c:pt idx="54" formatCode="0.0">
                  <c:v>128.25</c:v>
                </c:pt>
                <c:pt idx="55" formatCode="0.0">
                  <c:v>126.5625</c:v>
                </c:pt>
                <c:pt idx="56" formatCode="0.0">
                  <c:v>124.875</c:v>
                </c:pt>
                <c:pt idx="57" formatCode="0.0">
                  <c:v>123.1875</c:v>
                </c:pt>
                <c:pt idx="58" formatCode="0.0">
                  <c:v>121.5</c:v>
                </c:pt>
                <c:pt idx="59" formatCode="0.0">
                  <c:v>119.8125</c:v>
                </c:pt>
                <c:pt idx="60" formatCode="0.0">
                  <c:v>118.125</c:v>
                </c:pt>
                <c:pt idx="61" formatCode="0.0">
                  <c:v>116.4375</c:v>
                </c:pt>
                <c:pt idx="62" formatCode="0.0">
                  <c:v>114.75</c:v>
                </c:pt>
                <c:pt idx="63" formatCode="0.0">
                  <c:v>113.0625</c:v>
                </c:pt>
                <c:pt idx="64" formatCode="0.0">
                  <c:v>111.375</c:v>
                </c:pt>
                <c:pt idx="65" formatCode="0.0">
                  <c:v>109.6875</c:v>
                </c:pt>
                <c:pt idx="66" formatCode="0.0">
                  <c:v>108</c:v>
                </c:pt>
                <c:pt idx="67" formatCode="0.0">
                  <c:v>106.3125</c:v>
                </c:pt>
                <c:pt idx="68" formatCode="0.0">
                  <c:v>104.625</c:v>
                </c:pt>
                <c:pt idx="69" formatCode="0.0">
                  <c:v>102.9375</c:v>
                </c:pt>
                <c:pt idx="70" formatCode="0.0">
                  <c:v>101.25</c:v>
                </c:pt>
                <c:pt idx="71" formatCode="0.0">
                  <c:v>99.5625</c:v>
                </c:pt>
                <c:pt idx="72" formatCode="0.0">
                  <c:v>97.875</c:v>
                </c:pt>
                <c:pt idx="73" formatCode="0.0">
                  <c:v>96.1875</c:v>
                </c:pt>
                <c:pt idx="74" formatCode="0.0">
                  <c:v>94.5</c:v>
                </c:pt>
                <c:pt idx="75" formatCode="0.0">
                  <c:v>92.8125</c:v>
                </c:pt>
                <c:pt idx="76" formatCode="0.0">
                  <c:v>91.125</c:v>
                </c:pt>
                <c:pt idx="77" formatCode="0.0">
                  <c:v>89.4375</c:v>
                </c:pt>
                <c:pt idx="78" formatCode="0.0">
                  <c:v>87.75</c:v>
                </c:pt>
                <c:pt idx="79" formatCode="0.0">
                  <c:v>86.0625</c:v>
                </c:pt>
                <c:pt idx="80" formatCode="0.0">
                  <c:v>84.375</c:v>
                </c:pt>
                <c:pt idx="81" formatCode="0.0">
                  <c:v>82.6875</c:v>
                </c:pt>
                <c:pt idx="82" formatCode="0.0">
                  <c:v>81</c:v>
                </c:pt>
                <c:pt idx="83" formatCode="0.0">
                  <c:v>79.3125</c:v>
                </c:pt>
                <c:pt idx="84" formatCode="0.0">
                  <c:v>77.625</c:v>
                </c:pt>
                <c:pt idx="85" formatCode="0.0">
                  <c:v>75.9375</c:v>
                </c:pt>
                <c:pt idx="86" formatCode="0.0">
                  <c:v>74.25</c:v>
                </c:pt>
                <c:pt idx="87" formatCode="0.0">
                  <c:v>72.5625</c:v>
                </c:pt>
                <c:pt idx="88" formatCode="0.0">
                  <c:v>70.875</c:v>
                </c:pt>
                <c:pt idx="89" formatCode="0.0">
                  <c:v>69.1875</c:v>
                </c:pt>
                <c:pt idx="90" formatCode="0.0">
                  <c:v>67.5</c:v>
                </c:pt>
                <c:pt idx="91" formatCode="0.0">
                  <c:v>65.8125</c:v>
                </c:pt>
                <c:pt idx="92" formatCode="0.0">
                  <c:v>64.125</c:v>
                </c:pt>
                <c:pt idx="93" formatCode="0.0">
                  <c:v>62.4375</c:v>
                </c:pt>
                <c:pt idx="94" formatCode="0.0">
                  <c:v>60.75</c:v>
                </c:pt>
                <c:pt idx="95" formatCode="0.0">
                  <c:v>59.0625</c:v>
                </c:pt>
                <c:pt idx="96" formatCode="0.0">
                  <c:v>57.375</c:v>
                </c:pt>
                <c:pt idx="97" formatCode="0.0">
                  <c:v>55.6875</c:v>
                </c:pt>
                <c:pt idx="98" formatCode="0.0">
                  <c:v>54</c:v>
                </c:pt>
                <c:pt idx="99" formatCode="0.0">
                  <c:v>52.3125</c:v>
                </c:pt>
                <c:pt idx="100" formatCode="0.0">
                  <c:v>50.625</c:v>
                </c:pt>
                <c:pt idx="101" formatCode="0.0">
                  <c:v>48.9375</c:v>
                </c:pt>
                <c:pt idx="102" formatCode="0.0">
                  <c:v>47.25</c:v>
                </c:pt>
                <c:pt idx="103" formatCode="0.0">
                  <c:v>45.5625</c:v>
                </c:pt>
                <c:pt idx="104" formatCode="0.0">
                  <c:v>43.875</c:v>
                </c:pt>
                <c:pt idx="105" formatCode="0.0">
                  <c:v>42.1875</c:v>
                </c:pt>
                <c:pt idx="106" formatCode="0.0">
                  <c:v>40.5</c:v>
                </c:pt>
                <c:pt idx="107" formatCode="0.0">
                  <c:v>38.8125</c:v>
                </c:pt>
                <c:pt idx="108" formatCode="0.0">
                  <c:v>37.125</c:v>
                </c:pt>
                <c:pt idx="109" formatCode="0.0">
                  <c:v>35.4375</c:v>
                </c:pt>
                <c:pt idx="110" formatCode="0.0">
                  <c:v>33.75</c:v>
                </c:pt>
                <c:pt idx="111" formatCode="0.0">
                  <c:v>32.0625</c:v>
                </c:pt>
                <c:pt idx="112" formatCode="0.0">
                  <c:v>30.375</c:v>
                </c:pt>
                <c:pt idx="113" formatCode="0.0">
                  <c:v>28.6875</c:v>
                </c:pt>
                <c:pt idx="114" formatCode="0.0">
                  <c:v>27</c:v>
                </c:pt>
                <c:pt idx="115" formatCode="0.0">
                  <c:v>25.3125</c:v>
                </c:pt>
                <c:pt idx="116" formatCode="0.0">
                  <c:v>23.625</c:v>
                </c:pt>
                <c:pt idx="117" formatCode="0.0">
                  <c:v>21.9375</c:v>
                </c:pt>
                <c:pt idx="118" formatCode="0.0">
                  <c:v>20.25</c:v>
                </c:pt>
                <c:pt idx="119" formatCode="0.0">
                  <c:v>18.5625</c:v>
                </c:pt>
                <c:pt idx="120" formatCode="0.0">
                  <c:v>16.875</c:v>
                </c:pt>
                <c:pt idx="121" formatCode="0.0">
                  <c:v>15.1875</c:v>
                </c:pt>
                <c:pt idx="122" formatCode="0.0">
                  <c:v>13.5</c:v>
                </c:pt>
                <c:pt idx="123" formatCode="0.0">
                  <c:v>11.8125</c:v>
                </c:pt>
                <c:pt idx="124" formatCode="0.0">
                  <c:v>10.125</c:v>
                </c:pt>
                <c:pt idx="125" formatCode="0.0">
                  <c:v>8.4375</c:v>
                </c:pt>
                <c:pt idx="126" formatCode="0.0">
                  <c:v>6.75</c:v>
                </c:pt>
                <c:pt idx="127" formatCode="0.0">
                  <c:v>5.0625</c:v>
                </c:pt>
                <c:pt idx="128" formatCode="0.0">
                  <c:v>3.375</c:v>
                </c:pt>
                <c:pt idx="129" formatCode="0.0">
                  <c:v>1.6875</c:v>
                </c:pt>
                <c:pt idx="130" formatCode="0.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19-4F12-AA90-8EFE46458384}"/>
            </c:ext>
          </c:extLst>
        </c:ser>
        <c:ser>
          <c:idx val="1"/>
          <c:order val="1"/>
          <c:tx>
            <c:strRef>
              <c:f>'B1b Graphik'!$C$56:$C$57</c:f>
              <c:strCache>
                <c:ptCount val="2"/>
                <c:pt idx="0">
                  <c:v>ALT</c:v>
                </c:pt>
                <c:pt idx="1">
                  <c:v>PEB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'B1b Graphik'!$C$58:$C$278</c:f>
              <c:numCache>
                <c:formatCode>General</c:formatCode>
                <c:ptCount val="2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</c:numCache>
            </c:numRef>
          </c:cat>
          <c:val>
            <c:numRef>
              <c:f>'B1b Graphik'!$D$58:$D$278</c:f>
              <c:numCache>
                <c:formatCode>General</c:formatCode>
                <c:ptCount val="22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>
                  <c:v>135</c:v>
                </c:pt>
                <c:pt idx="28">
                  <c:v>135</c:v>
                </c:pt>
                <c:pt idx="29">
                  <c:v>135</c:v>
                </c:pt>
                <c:pt idx="30">
                  <c:v>135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135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>
                  <c:v>135</c:v>
                </c:pt>
                <c:pt idx="52">
                  <c:v>135</c:v>
                </c:pt>
                <c:pt idx="53">
                  <c:v>135</c:v>
                </c:pt>
                <c:pt idx="54">
                  <c:v>135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134.1</c:v>
                </c:pt>
                <c:pt idx="72">
                  <c:v>133.19999999999999</c:v>
                </c:pt>
                <c:pt idx="73">
                  <c:v>132.30000000000001</c:v>
                </c:pt>
                <c:pt idx="74">
                  <c:v>131.4</c:v>
                </c:pt>
                <c:pt idx="75">
                  <c:v>130.5</c:v>
                </c:pt>
                <c:pt idx="76">
                  <c:v>129.6</c:v>
                </c:pt>
                <c:pt idx="77">
                  <c:v>128.69999999999999</c:v>
                </c:pt>
                <c:pt idx="78">
                  <c:v>127.8</c:v>
                </c:pt>
                <c:pt idx="79">
                  <c:v>126.9</c:v>
                </c:pt>
                <c:pt idx="80">
                  <c:v>126</c:v>
                </c:pt>
                <c:pt idx="81">
                  <c:v>125.1</c:v>
                </c:pt>
                <c:pt idx="82">
                  <c:v>124.2</c:v>
                </c:pt>
                <c:pt idx="83">
                  <c:v>123.3</c:v>
                </c:pt>
                <c:pt idx="84">
                  <c:v>122.4</c:v>
                </c:pt>
                <c:pt idx="85">
                  <c:v>121.5</c:v>
                </c:pt>
                <c:pt idx="86">
                  <c:v>120.6</c:v>
                </c:pt>
                <c:pt idx="87">
                  <c:v>119.7</c:v>
                </c:pt>
                <c:pt idx="88">
                  <c:v>118.8</c:v>
                </c:pt>
                <c:pt idx="89">
                  <c:v>117.9</c:v>
                </c:pt>
                <c:pt idx="90">
                  <c:v>117</c:v>
                </c:pt>
                <c:pt idx="91">
                  <c:v>116.1</c:v>
                </c:pt>
                <c:pt idx="92">
                  <c:v>115.2</c:v>
                </c:pt>
                <c:pt idx="93">
                  <c:v>114.3</c:v>
                </c:pt>
                <c:pt idx="94">
                  <c:v>113.4</c:v>
                </c:pt>
                <c:pt idx="95">
                  <c:v>112.5</c:v>
                </c:pt>
                <c:pt idx="96">
                  <c:v>111.6</c:v>
                </c:pt>
                <c:pt idx="97">
                  <c:v>110.7</c:v>
                </c:pt>
                <c:pt idx="98">
                  <c:v>109.8</c:v>
                </c:pt>
                <c:pt idx="99">
                  <c:v>108.9</c:v>
                </c:pt>
                <c:pt idx="100">
                  <c:v>108</c:v>
                </c:pt>
                <c:pt idx="101">
                  <c:v>107.1</c:v>
                </c:pt>
                <c:pt idx="102">
                  <c:v>106.2</c:v>
                </c:pt>
                <c:pt idx="103">
                  <c:v>105.3</c:v>
                </c:pt>
                <c:pt idx="104">
                  <c:v>104.4</c:v>
                </c:pt>
                <c:pt idx="105">
                  <c:v>103.5</c:v>
                </c:pt>
                <c:pt idx="106">
                  <c:v>102.6</c:v>
                </c:pt>
                <c:pt idx="107">
                  <c:v>101.69999999999999</c:v>
                </c:pt>
                <c:pt idx="108">
                  <c:v>100.8</c:v>
                </c:pt>
                <c:pt idx="109">
                  <c:v>99.9</c:v>
                </c:pt>
                <c:pt idx="110">
                  <c:v>99</c:v>
                </c:pt>
                <c:pt idx="111">
                  <c:v>98.1</c:v>
                </c:pt>
                <c:pt idx="112">
                  <c:v>97.199999999999989</c:v>
                </c:pt>
                <c:pt idx="113">
                  <c:v>96.3</c:v>
                </c:pt>
                <c:pt idx="114">
                  <c:v>95.4</c:v>
                </c:pt>
                <c:pt idx="115">
                  <c:v>94.5</c:v>
                </c:pt>
                <c:pt idx="116">
                  <c:v>93.6</c:v>
                </c:pt>
                <c:pt idx="117">
                  <c:v>92.699999999999989</c:v>
                </c:pt>
                <c:pt idx="118">
                  <c:v>91.8</c:v>
                </c:pt>
                <c:pt idx="119">
                  <c:v>90.9</c:v>
                </c:pt>
                <c:pt idx="120">
                  <c:v>90</c:v>
                </c:pt>
                <c:pt idx="121">
                  <c:v>89.1</c:v>
                </c:pt>
                <c:pt idx="122">
                  <c:v>88.199999999999989</c:v>
                </c:pt>
                <c:pt idx="123">
                  <c:v>87.3</c:v>
                </c:pt>
                <c:pt idx="124">
                  <c:v>86.4</c:v>
                </c:pt>
                <c:pt idx="125">
                  <c:v>85.5</c:v>
                </c:pt>
                <c:pt idx="126">
                  <c:v>84.6</c:v>
                </c:pt>
                <c:pt idx="127">
                  <c:v>83.699999999999989</c:v>
                </c:pt>
                <c:pt idx="128">
                  <c:v>82.8</c:v>
                </c:pt>
                <c:pt idx="129">
                  <c:v>81.900000000000006</c:v>
                </c:pt>
                <c:pt idx="130">
                  <c:v>81</c:v>
                </c:pt>
                <c:pt idx="131">
                  <c:v>80.099999999999994</c:v>
                </c:pt>
                <c:pt idx="132">
                  <c:v>79.199999999999989</c:v>
                </c:pt>
                <c:pt idx="133">
                  <c:v>78.3</c:v>
                </c:pt>
                <c:pt idx="134">
                  <c:v>77.400000000000006</c:v>
                </c:pt>
                <c:pt idx="135">
                  <c:v>76.5</c:v>
                </c:pt>
                <c:pt idx="136">
                  <c:v>75.599999999999994</c:v>
                </c:pt>
                <c:pt idx="137">
                  <c:v>74.699999999999989</c:v>
                </c:pt>
                <c:pt idx="138">
                  <c:v>73.8</c:v>
                </c:pt>
                <c:pt idx="139">
                  <c:v>72.900000000000006</c:v>
                </c:pt>
                <c:pt idx="140">
                  <c:v>72</c:v>
                </c:pt>
                <c:pt idx="141">
                  <c:v>71.099999999999994</c:v>
                </c:pt>
                <c:pt idx="142">
                  <c:v>70.2</c:v>
                </c:pt>
                <c:pt idx="143">
                  <c:v>69.3</c:v>
                </c:pt>
                <c:pt idx="144">
                  <c:v>68.399999999999991</c:v>
                </c:pt>
                <c:pt idx="145">
                  <c:v>67.5</c:v>
                </c:pt>
                <c:pt idx="146">
                  <c:v>66.599999999999994</c:v>
                </c:pt>
                <c:pt idx="147">
                  <c:v>65.7</c:v>
                </c:pt>
                <c:pt idx="148">
                  <c:v>64.8</c:v>
                </c:pt>
                <c:pt idx="149">
                  <c:v>63.899999999999991</c:v>
                </c:pt>
                <c:pt idx="150">
                  <c:v>63</c:v>
                </c:pt>
                <c:pt idx="151">
                  <c:v>62.099999999999994</c:v>
                </c:pt>
                <c:pt idx="152">
                  <c:v>61.2</c:v>
                </c:pt>
                <c:pt idx="153">
                  <c:v>60.3</c:v>
                </c:pt>
                <c:pt idx="154">
                  <c:v>59.399999999999991</c:v>
                </c:pt>
                <c:pt idx="155">
                  <c:v>58.5</c:v>
                </c:pt>
                <c:pt idx="156">
                  <c:v>57.599999999999994</c:v>
                </c:pt>
                <c:pt idx="157">
                  <c:v>56.7</c:v>
                </c:pt>
                <c:pt idx="158">
                  <c:v>55.8</c:v>
                </c:pt>
                <c:pt idx="159">
                  <c:v>54.899999999999991</c:v>
                </c:pt>
                <c:pt idx="160">
                  <c:v>54</c:v>
                </c:pt>
                <c:pt idx="161">
                  <c:v>53.099999999999994</c:v>
                </c:pt>
                <c:pt idx="162">
                  <c:v>52.2</c:v>
                </c:pt>
                <c:pt idx="163">
                  <c:v>51.3</c:v>
                </c:pt>
                <c:pt idx="164">
                  <c:v>50.399999999999991</c:v>
                </c:pt>
                <c:pt idx="165">
                  <c:v>49.5</c:v>
                </c:pt>
                <c:pt idx="166">
                  <c:v>48.599999999999994</c:v>
                </c:pt>
                <c:pt idx="167">
                  <c:v>47.7</c:v>
                </c:pt>
                <c:pt idx="168">
                  <c:v>46.8</c:v>
                </c:pt>
                <c:pt idx="169">
                  <c:v>45.899999999999991</c:v>
                </c:pt>
                <c:pt idx="170">
                  <c:v>45</c:v>
                </c:pt>
                <c:pt idx="171">
                  <c:v>44.099999999999994</c:v>
                </c:pt>
                <c:pt idx="172">
                  <c:v>43.2</c:v>
                </c:pt>
                <c:pt idx="173">
                  <c:v>42.3</c:v>
                </c:pt>
                <c:pt idx="174">
                  <c:v>41.399999999999991</c:v>
                </c:pt>
                <c:pt idx="175">
                  <c:v>40.5</c:v>
                </c:pt>
                <c:pt idx="176">
                  <c:v>39.599999999999994</c:v>
                </c:pt>
                <c:pt idx="177">
                  <c:v>38.700000000000003</c:v>
                </c:pt>
                <c:pt idx="178">
                  <c:v>37.799999999999997</c:v>
                </c:pt>
                <c:pt idx="179">
                  <c:v>36.899999999999991</c:v>
                </c:pt>
                <c:pt idx="180">
                  <c:v>36</c:v>
                </c:pt>
                <c:pt idx="181">
                  <c:v>35.099999999999994</c:v>
                </c:pt>
                <c:pt idx="182">
                  <c:v>34.200000000000003</c:v>
                </c:pt>
                <c:pt idx="183">
                  <c:v>33.299999999999997</c:v>
                </c:pt>
                <c:pt idx="184">
                  <c:v>32.399999999999991</c:v>
                </c:pt>
                <c:pt idx="185">
                  <c:v>31.5</c:v>
                </c:pt>
                <c:pt idx="186">
                  <c:v>30.599999999999994</c:v>
                </c:pt>
                <c:pt idx="187">
                  <c:v>29.700000000000003</c:v>
                </c:pt>
                <c:pt idx="188">
                  <c:v>28.799999999999997</c:v>
                </c:pt>
                <c:pt idx="189">
                  <c:v>27.899999999999991</c:v>
                </c:pt>
                <c:pt idx="190">
                  <c:v>27</c:v>
                </c:pt>
                <c:pt idx="191">
                  <c:v>26.099999999999994</c:v>
                </c:pt>
                <c:pt idx="192">
                  <c:v>25.200000000000003</c:v>
                </c:pt>
                <c:pt idx="193">
                  <c:v>24.299999999999997</c:v>
                </c:pt>
                <c:pt idx="194">
                  <c:v>23.399999999999991</c:v>
                </c:pt>
                <c:pt idx="195">
                  <c:v>22.5</c:v>
                </c:pt>
                <c:pt idx="196">
                  <c:v>21.599999999999994</c:v>
                </c:pt>
                <c:pt idx="197">
                  <c:v>20.700000000000003</c:v>
                </c:pt>
                <c:pt idx="198">
                  <c:v>19.799999999999997</c:v>
                </c:pt>
                <c:pt idx="199">
                  <c:v>18.899999999999991</c:v>
                </c:pt>
                <c:pt idx="200">
                  <c:v>18</c:v>
                </c:pt>
                <c:pt idx="201">
                  <c:v>17.099999999999994</c:v>
                </c:pt>
                <c:pt idx="202">
                  <c:v>16.200000000000003</c:v>
                </c:pt>
                <c:pt idx="203">
                  <c:v>15.299999999999997</c:v>
                </c:pt>
                <c:pt idx="204">
                  <c:v>14.399999999999991</c:v>
                </c:pt>
                <c:pt idx="205">
                  <c:v>13.5</c:v>
                </c:pt>
                <c:pt idx="206">
                  <c:v>12.599999999999994</c:v>
                </c:pt>
                <c:pt idx="207">
                  <c:v>11.700000000000003</c:v>
                </c:pt>
                <c:pt idx="208">
                  <c:v>10.799999999999997</c:v>
                </c:pt>
                <c:pt idx="209">
                  <c:v>9.8999999999999915</c:v>
                </c:pt>
                <c:pt idx="210">
                  <c:v>9</c:v>
                </c:pt>
                <c:pt idx="211">
                  <c:v>8.0999999999999943</c:v>
                </c:pt>
                <c:pt idx="212">
                  <c:v>7.2000000000000028</c:v>
                </c:pt>
                <c:pt idx="213">
                  <c:v>6.2999999999999829</c:v>
                </c:pt>
                <c:pt idx="214">
                  <c:v>5.4000000000000057</c:v>
                </c:pt>
                <c:pt idx="215">
                  <c:v>4.5</c:v>
                </c:pt>
                <c:pt idx="216">
                  <c:v>3.5999999999999943</c:v>
                </c:pt>
                <c:pt idx="217">
                  <c:v>2.6999999999999886</c:v>
                </c:pt>
                <c:pt idx="218">
                  <c:v>1.7999999999999829</c:v>
                </c:pt>
                <c:pt idx="219">
                  <c:v>0.90000000000000568</c:v>
                </c:pt>
                <c:pt idx="2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19-4F12-AA90-8EFE46458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1008"/>
        <c:axId val="103371792"/>
      </c:lineChart>
      <c:catAx>
        <c:axId val="1033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>
                    <a:latin typeface="Arial"/>
                    <a:cs typeface="Arial"/>
                  </a:rPr>
                  <a:t>PEB [kWh/(m²BGFa)]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792"/>
        <c:crosses val="autoZero"/>
        <c:auto val="0"/>
        <c:lblAlgn val="ctr"/>
        <c:lblOffset val="100"/>
        <c:tickLblSkip val="20"/>
        <c:tickMarkSkip val="10"/>
        <c:noMultiLvlLbl val="0"/>
      </c:catAx>
      <c:valAx>
        <c:axId val="10337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008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25</xdr:row>
      <xdr:rowOff>38099</xdr:rowOff>
    </xdr:from>
    <xdr:to>
      <xdr:col>2</xdr:col>
      <xdr:colOff>0</xdr:colOff>
      <xdr:row>36</xdr:row>
      <xdr:rowOff>133349</xdr:rowOff>
    </xdr:to>
    <xdr:sp macro="" textlink="">
      <xdr:nvSpPr>
        <xdr:cNvPr id="4" name="Textfeld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/>
        </xdr:cNvSpPr>
      </xdr:nvSpPr>
      <xdr:spPr bwMode="auto">
        <a:xfrm>
          <a:off x="19050" y="5572124"/>
          <a:ext cx="5810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defRPr/>
          </a:pPr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Der LNB-Aussteller bestätigt mit nachstehenden Erklärungen, dass</a:t>
          </a:r>
          <a:endParaRPr lang="de-AT"/>
        </a:p>
        <a:p>
          <a:pPr>
            <a:defRPr/>
          </a:pPr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- die Erstelllung des Leitfaden für Nachhaltiges Bauen mit den erzielten Bewertungspunkten nach fachlich bestem Wissen und Gewissen durchgeführt wurde</a:t>
          </a:r>
          <a:endParaRPr lang="de-AT"/>
        </a:p>
        <a:p>
          <a:pPr>
            <a:defRPr/>
          </a:pPr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- sofern alle für die Ausstellung erforderlichen Unterlagen korrekt  und vollständig übermittelt wurden, ein Prüfer/Aussteller nicht in den Planungs- und Ausführungsprozess des Bauvorhabens eingebunden war und überdies hierfür keinerlei Honorare erhalten hat</a:t>
          </a:r>
          <a:endParaRPr lang="de-AT"/>
        </a:p>
        <a:p>
          <a:pPr>
            <a:defRPr/>
          </a:pPr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- dem LNB-Aussteller bewusst ist, dass,  falls sich nachträglich herausstellt, dass die Bewertungspunkte nicht stimmen sollten, es zu einer Kürzung des Fördersatzes und der maximal anerkennbaren Kosten für die Gemeinde kommen kann.</a:t>
          </a:r>
          <a:endParaRPr lang="de-AT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9525</xdr:rowOff>
    </xdr:from>
    <xdr:to>
      <xdr:col>6</xdr:col>
      <xdr:colOff>695325</xdr:colOff>
      <xdr:row>1</xdr:row>
      <xdr:rowOff>171451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333375" y="9525"/>
          <a:ext cx="9010650" cy="1152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>
            <a:lnSpc>
              <a:spcPts val="2400"/>
            </a:lnSpc>
            <a:defRPr sz="1000"/>
          </a:pPr>
          <a:r>
            <a:rPr lang="en-US" sz="2200" b="1" i="0" u="none" strike="noStrike">
              <a:solidFill>
                <a:srgbClr val="000000"/>
              </a:solidFill>
              <a:latin typeface="Arial"/>
              <a:cs typeface="Arial"/>
            </a:rPr>
            <a:t>Kriterien Leitfaden für Nachhaltiges Bauen</a:t>
          </a:r>
          <a:endParaRPr/>
        </a:p>
        <a:p>
          <a:pPr algn="l">
            <a:lnSpc>
              <a:spcPts val="2400"/>
            </a:lnSpc>
            <a:defRPr sz="1000"/>
          </a:pPr>
          <a:r>
            <a:rPr lang="en-US" sz="2200" b="1" i="0" u="none" strike="noStrike">
              <a:solidFill>
                <a:srgbClr val="000000"/>
              </a:solidFill>
              <a:latin typeface="Arial"/>
              <a:cs typeface="Arial"/>
            </a:rPr>
            <a:t>Neubau und Sanierung</a:t>
          </a:r>
          <a:br>
            <a:rPr lang="en-US" sz="2200" b="1" i="0" u="none" strike="noStrike">
              <a:solidFill>
                <a:srgbClr val="000000"/>
              </a:solidFill>
              <a:latin typeface="Arial"/>
              <a:cs typeface="Arial"/>
            </a:rPr>
          </a:br>
          <a:r>
            <a:rPr lang="en-US" sz="1800" b="0" i="0" u="none" strike="noStrike">
              <a:solidFill>
                <a:srgbClr val="000000"/>
              </a:solidFill>
              <a:latin typeface="Arial"/>
              <a:cs typeface="Arial"/>
            </a:rPr>
            <a:t>Landkreis</a:t>
          </a:r>
          <a:r>
            <a:rPr lang="en-US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 Ravensburg</a:t>
          </a:r>
          <a:endParaRPr lang="en-US" sz="800" b="0" i="0" u="none" strike="noStrike">
            <a:solidFill>
              <a:srgbClr val="000000"/>
            </a:solidFill>
            <a:latin typeface="Arial"/>
            <a:cs typeface="Arial"/>
          </a:endParaRPr>
        </a:p>
        <a:p>
          <a:pPr marL="0" marR="0" indent="0" algn="l" defTabSz="914400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defRPr/>
          </a:pPr>
          <a:endParaRPr lang="de-DE" sz="1400"/>
        </a:p>
        <a:p>
          <a:pPr algn="l">
            <a:lnSpc>
              <a:spcPts val="1500"/>
            </a:lnSpc>
            <a:defRPr sz="1000"/>
          </a:pPr>
          <a:r>
            <a:rPr lang="en-US" sz="1400" b="0" i="0" u="none" strike="noStrike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n-US" sz="1400" b="1" i="0" u="none" strike="noStrike">
              <a:solidFill>
                <a:srgbClr val="000000"/>
              </a:solidFill>
              <a:latin typeface="Arial"/>
              <a:cs typeface="Arial"/>
            </a:rPr>
            <a:t>  </a:t>
          </a:r>
          <a:endParaRPr lang="en-US" sz="1200" b="1" i="0" u="none" strike="noStrike">
            <a:solidFill>
              <a:srgbClr val="000000"/>
            </a:solidFill>
            <a:latin typeface="Arial"/>
            <a:cs typeface="Arial"/>
          </a:endParaRPr>
        </a:p>
        <a:p>
          <a:pPr algn="l">
            <a:lnSpc>
              <a:spcPts val="1200"/>
            </a:lnSpc>
            <a:defRPr sz="1000"/>
          </a:pPr>
          <a:endParaRPr lang="en-US" sz="1200" b="1" i="0" u="none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1098626</xdr:colOff>
      <xdr:row>32</xdr:row>
      <xdr:rowOff>199339</xdr:rowOff>
    </xdr:from>
    <xdr:to>
      <xdr:col>5</xdr:col>
      <xdr:colOff>824256</xdr:colOff>
      <xdr:row>33</xdr:row>
      <xdr:rowOff>125256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 rot="20580835">
          <a:off x="1215043" y="12370172"/>
          <a:ext cx="7970046" cy="306917"/>
        </a:xfrm>
        <a:prstGeom prst="rect">
          <a:avLst/>
        </a:prstGeom>
        <a:solidFill>
          <a:srgbClr val="FFC000">
            <a:alpha val="80000"/>
          </a:srgbClr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AT" sz="1200" b="1">
              <a:solidFill>
                <a:srgbClr val="FF0000"/>
              </a:solidFill>
            </a:rPr>
            <a:t>muss noch auf das GEG </a:t>
          </a:r>
          <a:r>
            <a:rPr lang="de-AT" sz="1200" b="1" baseline="0">
              <a:solidFill>
                <a:srgbClr val="FF0000"/>
              </a:solidFill>
            </a:rPr>
            <a:t> angepasst werden</a:t>
          </a:r>
          <a:endParaRPr lang="de-AT" sz="12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4</xdr:row>
      <xdr:rowOff>190499</xdr:rowOff>
    </xdr:from>
    <xdr:to>
      <xdr:col>13</xdr:col>
      <xdr:colOff>704849</xdr:colOff>
      <xdr:row>21</xdr:row>
      <xdr:rowOff>133350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66673</xdr:colOff>
      <xdr:row>21</xdr:row>
      <xdr:rowOff>142875</xdr:rowOff>
    </xdr:from>
    <xdr:to>
      <xdr:col>12</xdr:col>
      <xdr:colOff>647699</xdr:colOff>
      <xdr:row>37</xdr:row>
      <xdr:rowOff>0</xdr:rowOff>
    </xdr:to>
    <xdr:graphicFrame macro="">
      <xdr:nvGraphicFramePr>
        <xdr:cNvPr id="5" name="Diagramm 2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76200</xdr:colOff>
      <xdr:row>38</xdr:row>
      <xdr:rowOff>38100</xdr:rowOff>
    </xdr:from>
    <xdr:to>
      <xdr:col>9</xdr:col>
      <xdr:colOff>2505075</xdr:colOff>
      <xdr:row>53</xdr:row>
      <xdr:rowOff>66675</xdr:rowOff>
    </xdr:to>
    <xdr:graphicFrame macro="">
      <xdr:nvGraphicFramePr>
        <xdr:cNvPr id="6" name="Diagramm 3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</xdr:row>
      <xdr:rowOff>190499</xdr:rowOff>
    </xdr:from>
    <xdr:to>
      <xdr:col>6</xdr:col>
      <xdr:colOff>590549</xdr:colOff>
      <xdr:row>21</xdr:row>
      <xdr:rowOff>142874</xdr:rowOff>
    </xdr:to>
    <xdr:graphicFrame macro="">
      <xdr:nvGraphicFramePr>
        <xdr:cNvPr id="7" name="Diagramm 4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200025</xdr:colOff>
      <xdr:row>22</xdr:row>
      <xdr:rowOff>19050</xdr:rowOff>
    </xdr:from>
    <xdr:to>
      <xdr:col>4</xdr:col>
      <xdr:colOff>352426</xdr:colOff>
      <xdr:row>37</xdr:row>
      <xdr:rowOff>57151</xdr:rowOff>
    </xdr:to>
    <xdr:graphicFrame macro="">
      <xdr:nvGraphicFramePr>
        <xdr:cNvPr id="8" name="Diagramm 5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38099</xdr:colOff>
      <xdr:row>37</xdr:row>
      <xdr:rowOff>123824</xdr:rowOff>
    </xdr:from>
    <xdr:to>
      <xdr:col>2</xdr:col>
      <xdr:colOff>295274</xdr:colOff>
      <xdr:row>52</xdr:row>
      <xdr:rowOff>152400</xdr:rowOff>
    </xdr:to>
    <xdr:graphicFrame macro="">
      <xdr:nvGraphicFramePr>
        <xdr:cNvPr id="9" name="Diagramm 6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457200</xdr:colOff>
      <xdr:row>37</xdr:row>
      <xdr:rowOff>123824</xdr:rowOff>
    </xdr:from>
    <xdr:to>
      <xdr:col>6</xdr:col>
      <xdr:colOff>695325</xdr:colOff>
      <xdr:row>52</xdr:row>
      <xdr:rowOff>152400</xdr:rowOff>
    </xdr:to>
    <xdr:graphicFrame macro="">
      <xdr:nvGraphicFramePr>
        <xdr:cNvPr id="10" name="Diagramm 7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2552700</xdr:colOff>
      <xdr:row>38</xdr:row>
      <xdr:rowOff>38100</xdr:rowOff>
    </xdr:from>
    <xdr:to>
      <xdr:col>13</xdr:col>
      <xdr:colOff>704849</xdr:colOff>
      <xdr:row>53</xdr:row>
      <xdr:rowOff>66675</xdr:rowOff>
    </xdr:to>
    <xdr:graphicFrame macro="">
      <xdr:nvGraphicFramePr>
        <xdr:cNvPr id="11" name="Diagramm 8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3</xdr:col>
      <xdr:colOff>473871</xdr:colOff>
      <xdr:row>11</xdr:row>
      <xdr:rowOff>306917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 rot="20580835">
          <a:off x="0" y="3238500"/>
          <a:ext cx="7970046" cy="306917"/>
        </a:xfrm>
        <a:prstGeom prst="rect">
          <a:avLst/>
        </a:prstGeom>
        <a:solidFill>
          <a:srgbClr val="FFC000">
            <a:alpha val="80000"/>
          </a:srgbClr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AT" sz="1200" b="1">
              <a:solidFill>
                <a:srgbClr val="FF0000"/>
              </a:solidFill>
            </a:rPr>
            <a:t>muss noch auf das GEG</a:t>
          </a:r>
          <a:r>
            <a:rPr lang="de-AT" sz="1200" b="1" baseline="0">
              <a:solidFill>
                <a:srgbClr val="FF0000"/>
              </a:solidFill>
            </a:rPr>
            <a:t> angepasst werden</a:t>
          </a:r>
          <a:endParaRPr lang="de-AT" sz="12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21</xdr:row>
      <xdr:rowOff>133350</xdr:rowOff>
    </xdr:from>
    <xdr:to>
      <xdr:col>4</xdr:col>
      <xdr:colOff>1676400</xdr:colOff>
      <xdr:row>36</xdr:row>
      <xdr:rowOff>171450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37</xdr:row>
      <xdr:rowOff>114300</xdr:rowOff>
    </xdr:from>
    <xdr:to>
      <xdr:col>4</xdr:col>
      <xdr:colOff>971550</xdr:colOff>
      <xdr:row>52</xdr:row>
      <xdr:rowOff>142875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5</xdr:row>
      <xdr:rowOff>152399</xdr:rowOff>
    </xdr:from>
    <xdr:to>
      <xdr:col>4</xdr:col>
      <xdr:colOff>1666875</xdr:colOff>
      <xdr:row>21</xdr:row>
      <xdr:rowOff>9524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95250</xdr:colOff>
      <xdr:row>5</xdr:row>
      <xdr:rowOff>19051</xdr:rowOff>
    </xdr:from>
    <xdr:to>
      <xdr:col>21</xdr:col>
      <xdr:colOff>876300</xdr:colOff>
      <xdr:row>22</xdr:row>
      <xdr:rowOff>28576</xdr:rowOff>
    </xdr:to>
    <xdr:graphicFrame macro="">
      <xdr:nvGraphicFramePr>
        <xdr:cNvPr id="7" name="Diagramm 3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76200</xdr:colOff>
      <xdr:row>21</xdr:row>
      <xdr:rowOff>9525</xdr:rowOff>
    </xdr:from>
    <xdr:to>
      <xdr:col>18</xdr:col>
      <xdr:colOff>885825</xdr:colOff>
      <xdr:row>37</xdr:row>
      <xdr:rowOff>171450</xdr:rowOff>
    </xdr:to>
    <xdr:graphicFrame macro="">
      <xdr:nvGraphicFramePr>
        <xdr:cNvPr id="8" name="Diagramm 4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85725</xdr:colOff>
      <xdr:row>38</xdr:row>
      <xdr:rowOff>0</xdr:rowOff>
    </xdr:from>
    <xdr:to>
      <xdr:col>17</xdr:col>
      <xdr:colOff>809626</xdr:colOff>
      <xdr:row>54</xdr:row>
      <xdr:rowOff>171450</xdr:rowOff>
    </xdr:to>
    <xdr:graphicFrame macro="">
      <xdr:nvGraphicFramePr>
        <xdr:cNvPr id="9" name="Diagramm 6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1781175</xdr:colOff>
      <xdr:row>37</xdr:row>
      <xdr:rowOff>114300</xdr:rowOff>
    </xdr:from>
    <xdr:to>
      <xdr:col>8</xdr:col>
      <xdr:colOff>733425</xdr:colOff>
      <xdr:row>52</xdr:row>
      <xdr:rowOff>142875</xdr:rowOff>
    </xdr:to>
    <xdr:graphicFrame macro="">
      <xdr:nvGraphicFramePr>
        <xdr:cNvPr id="10" name="Diagramm 7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152400</xdr:colOff>
      <xdr:row>38</xdr:row>
      <xdr:rowOff>0</xdr:rowOff>
    </xdr:from>
    <xdr:to>
      <xdr:col>23</xdr:col>
      <xdr:colOff>304800</xdr:colOff>
      <xdr:row>53</xdr:row>
      <xdr:rowOff>28575</xdr:rowOff>
    </xdr:to>
    <xdr:graphicFrame macro="">
      <xdr:nvGraphicFramePr>
        <xdr:cNvPr id="11" name="Diagramm 8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l\AppData\Local\Microsoft\Windows\Temporary%20Internet%20Files\Content.Outlook\7PARUR26\Kriterien-KGA2011(Version%201%203)-Neubau_end_201108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EB/2%20aktiv/28.400%20Beratung%20Kommunen/00_28.401%20PM-kommunale/KGA/Update%202021/KGA%202021%20FINAL/Kriterien-KGA2021%20-%20Stand%2020210107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Neubau"/>
      <sheetName val="A. 1.1. "/>
      <sheetName val="A.1.3."/>
      <sheetName val="A.1.5"/>
      <sheetName val="Objektabelle"/>
      <sheetName val="Gemeindetabelle"/>
      <sheetName val="B1 "/>
      <sheetName val="B.1b "/>
      <sheetName val="B1.6b"/>
      <sheetName val="C.1.1"/>
      <sheetName val="C.2.1"/>
      <sheetName val="D.1.1"/>
      <sheetName val="D1.2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Verwaltungsgebäude</v>
          </cell>
        </row>
        <row r="3">
          <cell r="A3" t="str">
            <v>Kindergarten</v>
          </cell>
        </row>
        <row r="4">
          <cell r="A4" t="str">
            <v>Volksschule</v>
          </cell>
        </row>
        <row r="5">
          <cell r="A5" t="str">
            <v>Mittelschule/Hauptschule</v>
          </cell>
        </row>
        <row r="6">
          <cell r="A6" t="str">
            <v>Pflegeheim/Altersheim</v>
          </cell>
        </row>
        <row r="7">
          <cell r="A7" t="str">
            <v>Veranstaltungssaal mit vorwiegend lokaler Nutzung</v>
          </cell>
        </row>
        <row r="8">
          <cell r="A8" t="str">
            <v>Veranstaltungssaal mit lokaler und regionaler Nutzung</v>
          </cell>
        </row>
        <row r="9">
          <cell r="A9" t="str">
            <v>Veranstaltungssaal mit vorwiegend überregionaler Nutzung</v>
          </cell>
        </row>
      </sheetData>
      <sheetData sheetId="6">
        <row r="2">
          <cell r="A2" t="str">
            <v>Alberschwende</v>
          </cell>
        </row>
        <row r="3">
          <cell r="A3" t="str">
            <v>Altach</v>
          </cell>
        </row>
        <row r="4">
          <cell r="A4" t="str">
            <v>Andelsbuch</v>
          </cell>
        </row>
        <row r="5">
          <cell r="A5" t="str">
            <v>Au</v>
          </cell>
        </row>
        <row r="6">
          <cell r="A6" t="str">
            <v>Bartholomäberg</v>
          </cell>
        </row>
        <row r="7">
          <cell r="A7" t="str">
            <v>Bezau</v>
          </cell>
        </row>
        <row r="8">
          <cell r="A8" t="str">
            <v>Bildstein</v>
          </cell>
        </row>
        <row r="9">
          <cell r="A9" t="str">
            <v>Bizau</v>
          </cell>
        </row>
        <row r="10">
          <cell r="A10" t="str">
            <v>Blons</v>
          </cell>
        </row>
        <row r="11">
          <cell r="A11" t="str">
            <v>Bludenz</v>
          </cell>
        </row>
        <row r="12">
          <cell r="A12" t="str">
            <v>Bludesch</v>
          </cell>
        </row>
        <row r="13">
          <cell r="A13" t="str">
            <v>Brand</v>
          </cell>
        </row>
        <row r="14">
          <cell r="A14" t="str">
            <v>Bregenz</v>
          </cell>
        </row>
        <row r="15">
          <cell r="A15" t="str">
            <v>Bregenz - Fluh</v>
          </cell>
        </row>
        <row r="16">
          <cell r="A16" t="str">
            <v>Buch</v>
          </cell>
        </row>
        <row r="17">
          <cell r="A17" t="str">
            <v>Bürs</v>
          </cell>
        </row>
        <row r="18">
          <cell r="A18" t="str">
            <v>Bürserberg</v>
          </cell>
        </row>
        <row r="19">
          <cell r="A19" t="str">
            <v>Dalaas</v>
          </cell>
        </row>
        <row r="20">
          <cell r="A20" t="str">
            <v>Damüls</v>
          </cell>
        </row>
        <row r="21">
          <cell r="A21" t="str">
            <v>Donbirn - Watzenegg</v>
          </cell>
        </row>
        <row r="22">
          <cell r="A22" t="str">
            <v>Doren</v>
          </cell>
        </row>
        <row r="23">
          <cell r="A23" t="str">
            <v>Dornbirn</v>
          </cell>
        </row>
        <row r="24">
          <cell r="A24" t="str">
            <v>Dornbirn - Ebnit</v>
          </cell>
        </row>
        <row r="25">
          <cell r="A25" t="str">
            <v>Dornbirn - Kehlegg</v>
          </cell>
        </row>
        <row r="26">
          <cell r="A26" t="str">
            <v>Düns</v>
          </cell>
        </row>
        <row r="27">
          <cell r="A27" t="str">
            <v>Dünserberg</v>
          </cell>
        </row>
        <row r="28">
          <cell r="A28" t="str">
            <v>Egg</v>
          </cell>
        </row>
        <row r="29">
          <cell r="A29" t="str">
            <v>Eichenberg</v>
          </cell>
        </row>
        <row r="30">
          <cell r="A30" t="str">
            <v>Feldkirch</v>
          </cell>
        </row>
        <row r="31">
          <cell r="A31" t="str">
            <v>Fontanella</v>
          </cell>
        </row>
        <row r="32">
          <cell r="A32" t="str">
            <v>Frastanz</v>
          </cell>
        </row>
        <row r="33">
          <cell r="A33" t="str">
            <v>Frastanz - Amerlügern</v>
          </cell>
        </row>
        <row r="34">
          <cell r="A34" t="str">
            <v>Frastanz - Fellengatter</v>
          </cell>
        </row>
        <row r="35">
          <cell r="A35" t="str">
            <v>Frastanz - Frastaferders</v>
          </cell>
        </row>
        <row r="36">
          <cell r="A36" t="str">
            <v>Frastanz - Gampelün</v>
          </cell>
        </row>
        <row r="37">
          <cell r="A37" t="str">
            <v>Fraxern</v>
          </cell>
        </row>
        <row r="38">
          <cell r="A38" t="str">
            <v>Fußach</v>
          </cell>
        </row>
        <row r="39">
          <cell r="A39" t="str">
            <v>Gaißau</v>
          </cell>
        </row>
        <row r="40">
          <cell r="A40" t="str">
            <v>Gaschurn</v>
          </cell>
        </row>
        <row r="41">
          <cell r="A41" t="str">
            <v>Göfis</v>
          </cell>
        </row>
        <row r="42">
          <cell r="A42" t="str">
            <v>Götzis</v>
          </cell>
        </row>
        <row r="43">
          <cell r="A43" t="str">
            <v>Götzis - Meschach</v>
          </cell>
        </row>
        <row r="44">
          <cell r="A44" t="str">
            <v>Hard</v>
          </cell>
        </row>
        <row r="45">
          <cell r="A45" t="str">
            <v>Hittisau</v>
          </cell>
        </row>
        <row r="46">
          <cell r="A46" t="str">
            <v>Höchst</v>
          </cell>
        </row>
        <row r="47">
          <cell r="A47" t="str">
            <v>Hohenems</v>
          </cell>
        </row>
        <row r="48">
          <cell r="A48" t="str">
            <v>Hohenems - Reuthe</v>
          </cell>
        </row>
        <row r="49">
          <cell r="A49" t="str">
            <v>Hohenweiler</v>
          </cell>
        </row>
        <row r="50">
          <cell r="A50" t="str">
            <v>Hörbranz</v>
          </cell>
        </row>
        <row r="51">
          <cell r="A51" t="str">
            <v>Innerbraz</v>
          </cell>
        </row>
        <row r="52">
          <cell r="A52" t="str">
            <v>Kennelbach</v>
          </cell>
        </row>
        <row r="53">
          <cell r="A53" t="str">
            <v>Klaus</v>
          </cell>
        </row>
        <row r="54">
          <cell r="A54" t="str">
            <v>Klösterle</v>
          </cell>
        </row>
        <row r="55">
          <cell r="A55" t="str">
            <v>Koblach</v>
          </cell>
        </row>
        <row r="56">
          <cell r="A56" t="str">
            <v>Krumbach</v>
          </cell>
        </row>
        <row r="57">
          <cell r="A57" t="str">
            <v>Langen bei Bregenz</v>
          </cell>
        </row>
        <row r="58">
          <cell r="A58" t="str">
            <v>Langenegg</v>
          </cell>
        </row>
        <row r="59">
          <cell r="A59" t="str">
            <v>Laterns</v>
          </cell>
        </row>
        <row r="60">
          <cell r="A60" t="str">
            <v>Lauterach</v>
          </cell>
        </row>
        <row r="61">
          <cell r="A61" t="str">
            <v>Lech</v>
          </cell>
        </row>
        <row r="62">
          <cell r="A62" t="str">
            <v>Lingenau</v>
          </cell>
        </row>
        <row r="63">
          <cell r="A63" t="str">
            <v>Lochau</v>
          </cell>
        </row>
        <row r="64">
          <cell r="A64" t="str">
            <v>Lorüns</v>
          </cell>
        </row>
        <row r="65">
          <cell r="A65" t="str">
            <v>Ludesch</v>
          </cell>
        </row>
        <row r="66">
          <cell r="A66" t="str">
            <v>Lustenau</v>
          </cell>
        </row>
        <row r="67">
          <cell r="A67" t="str">
            <v>Mäder</v>
          </cell>
        </row>
        <row r="68">
          <cell r="A68" t="str">
            <v>Meiningen</v>
          </cell>
        </row>
        <row r="69">
          <cell r="A69" t="str">
            <v>Mellau</v>
          </cell>
        </row>
        <row r="70">
          <cell r="A70" t="str">
            <v>Mittelberg</v>
          </cell>
        </row>
        <row r="71">
          <cell r="A71" t="str">
            <v>Möggers</v>
          </cell>
        </row>
        <row r="72">
          <cell r="A72" t="str">
            <v>Nenzing</v>
          </cell>
        </row>
        <row r="73">
          <cell r="A73" t="str">
            <v>Nenzing - Gurtis</v>
          </cell>
        </row>
        <row r="74">
          <cell r="A74" t="str">
            <v>Nenzing - Latz</v>
          </cell>
        </row>
        <row r="75">
          <cell r="A75" t="str">
            <v>Nüziders</v>
          </cell>
        </row>
        <row r="76">
          <cell r="A76" t="str">
            <v>Raggal</v>
          </cell>
        </row>
        <row r="77">
          <cell r="A77" t="str">
            <v>Rankweil</v>
          </cell>
        </row>
        <row r="78">
          <cell r="A78" t="str">
            <v>Reuthe</v>
          </cell>
        </row>
        <row r="79">
          <cell r="A79" t="str">
            <v>Riefensberg</v>
          </cell>
        </row>
        <row r="80">
          <cell r="A80" t="str">
            <v>Röns</v>
          </cell>
        </row>
        <row r="81">
          <cell r="A81" t="str">
            <v>Röthis</v>
          </cell>
        </row>
        <row r="82">
          <cell r="A82" t="str">
            <v>Satteins</v>
          </cell>
        </row>
        <row r="83">
          <cell r="A83" t="str">
            <v>Schlins</v>
          </cell>
        </row>
        <row r="84">
          <cell r="A84" t="str">
            <v>Schnepfau</v>
          </cell>
        </row>
        <row r="85">
          <cell r="A85" t="str">
            <v>Schnifis</v>
          </cell>
        </row>
        <row r="86">
          <cell r="A86" t="str">
            <v>Schoppernau</v>
          </cell>
        </row>
        <row r="87">
          <cell r="A87" t="str">
            <v>Schröcken</v>
          </cell>
        </row>
        <row r="88">
          <cell r="A88" t="str">
            <v>Schruns</v>
          </cell>
        </row>
        <row r="89">
          <cell r="A89" t="str">
            <v>Schwarzach</v>
          </cell>
        </row>
        <row r="90">
          <cell r="A90" t="str">
            <v>Schwarzenberg</v>
          </cell>
        </row>
        <row r="91">
          <cell r="A91" t="str">
            <v>Sibratsgfäll</v>
          </cell>
        </row>
        <row r="92">
          <cell r="A92" t="str">
            <v>Silbertal</v>
          </cell>
        </row>
        <row r="93">
          <cell r="A93" t="str">
            <v>Sonntag</v>
          </cell>
        </row>
        <row r="94">
          <cell r="A94" t="str">
            <v>St. Anton im Montafon</v>
          </cell>
        </row>
        <row r="95">
          <cell r="A95" t="str">
            <v>St. Gallenkirch</v>
          </cell>
        </row>
        <row r="96">
          <cell r="A96" t="str">
            <v>St. Gerold</v>
          </cell>
        </row>
        <row r="97">
          <cell r="A97" t="str">
            <v>Stallehr</v>
          </cell>
        </row>
        <row r="98">
          <cell r="A98" t="str">
            <v>Sulz</v>
          </cell>
        </row>
        <row r="99">
          <cell r="A99" t="str">
            <v>Sulzberg</v>
          </cell>
        </row>
        <row r="100">
          <cell r="A100" t="str">
            <v>Thüringen</v>
          </cell>
        </row>
        <row r="101">
          <cell r="A101" t="str">
            <v>Thüringerberg</v>
          </cell>
        </row>
        <row r="102">
          <cell r="A102" t="str">
            <v>Tschagguns</v>
          </cell>
        </row>
        <row r="103">
          <cell r="A103" t="str">
            <v>Übersaxen</v>
          </cell>
        </row>
        <row r="104">
          <cell r="A104" t="str">
            <v>Vandans</v>
          </cell>
        </row>
        <row r="105">
          <cell r="A105" t="str">
            <v>Viktorsberg</v>
          </cell>
        </row>
        <row r="106">
          <cell r="A106" t="str">
            <v>Warth</v>
          </cell>
        </row>
        <row r="107">
          <cell r="A107" t="str">
            <v>Weiler</v>
          </cell>
        </row>
        <row r="108">
          <cell r="A108" t="str">
            <v>Wolfurt</v>
          </cell>
        </row>
        <row r="109">
          <cell r="A109" t="str">
            <v>Zwischenwasser - Batschuns</v>
          </cell>
        </row>
        <row r="110">
          <cell r="A110" t="str">
            <v>Zwischenwasser - Dafins</v>
          </cell>
        </row>
        <row r="111">
          <cell r="A111" t="str">
            <v>Zwischenwasser - Muntlix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Punktevergabe"/>
      <sheetName val="A 1.2"/>
      <sheetName val="A 1.3"/>
      <sheetName val="A 1.4"/>
      <sheetName val="Objektabelle"/>
      <sheetName val="Gemeindetabelle"/>
      <sheetName val="A 1.5"/>
      <sheetName val="A 1.6"/>
      <sheetName val="B1 "/>
      <sheetName val="B1 Graphik"/>
      <sheetName val="B1b "/>
      <sheetName val="B1b Graphik"/>
      <sheetName val="B 1.5"/>
      <sheetName val="C 1.1"/>
      <sheetName val="C 1.2"/>
      <sheetName val="C 2.1"/>
      <sheetName val="D 1.1"/>
      <sheetName val="D 1.2"/>
      <sheetName val="D 2.1"/>
      <sheetName val="D 2.2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Verwaltungsgebäude</v>
          </cell>
        </row>
        <row r="3">
          <cell r="A3" t="str">
            <v>Kindergarten</v>
          </cell>
        </row>
        <row r="4">
          <cell r="A4" t="str">
            <v>Volksschule</v>
          </cell>
        </row>
        <row r="5">
          <cell r="A5" t="str">
            <v>Mittelschule/Hauptschule</v>
          </cell>
        </row>
        <row r="6">
          <cell r="A6" t="str">
            <v>Pflegeheim/Altersheim</v>
          </cell>
        </row>
        <row r="7">
          <cell r="A7" t="str">
            <v>Veranstaltungssaal mit vorwiegend lokaler Nutzung</v>
          </cell>
        </row>
        <row r="8">
          <cell r="A8" t="str">
            <v>Veranstaltungssaal mit lokaler und regionaler Nutzung</v>
          </cell>
        </row>
        <row r="9">
          <cell r="A9" t="str">
            <v>Veranstaltungssaal mit vorwiegend überregionaler Nutzung</v>
          </cell>
        </row>
      </sheetData>
      <sheetData sheetId="6">
        <row r="2">
          <cell r="A2" t="str">
            <v>Alberschwende</v>
          </cell>
        </row>
        <row r="3">
          <cell r="A3" t="str">
            <v>Altach</v>
          </cell>
        </row>
        <row r="4">
          <cell r="A4" t="str">
            <v>Andelsbuch</v>
          </cell>
        </row>
        <row r="5">
          <cell r="A5" t="str">
            <v>Au</v>
          </cell>
        </row>
        <row r="6">
          <cell r="A6" t="str">
            <v>Bartholomäberg</v>
          </cell>
        </row>
        <row r="7">
          <cell r="A7" t="str">
            <v>Bezau</v>
          </cell>
        </row>
        <row r="8">
          <cell r="A8" t="str">
            <v>Bildstein</v>
          </cell>
        </row>
        <row r="9">
          <cell r="A9" t="str">
            <v>Bizau</v>
          </cell>
        </row>
        <row r="10">
          <cell r="A10" t="str">
            <v>Blons</v>
          </cell>
        </row>
        <row r="11">
          <cell r="A11" t="str">
            <v>Bludenz</v>
          </cell>
        </row>
        <row r="12">
          <cell r="A12" t="str">
            <v>Bludesch</v>
          </cell>
        </row>
        <row r="13">
          <cell r="A13" t="str">
            <v>Brand</v>
          </cell>
        </row>
        <row r="14">
          <cell r="A14" t="str">
            <v>Bregenz</v>
          </cell>
        </row>
        <row r="15">
          <cell r="A15" t="str">
            <v>Bregenz - Fluh</v>
          </cell>
        </row>
        <row r="16">
          <cell r="A16" t="str">
            <v>Buch</v>
          </cell>
        </row>
        <row r="17">
          <cell r="A17" t="str">
            <v>Bürs</v>
          </cell>
        </row>
        <row r="18">
          <cell r="A18" t="str">
            <v>Bürserberg</v>
          </cell>
        </row>
        <row r="19">
          <cell r="A19" t="str">
            <v>Dalaas</v>
          </cell>
        </row>
        <row r="20">
          <cell r="A20" t="str">
            <v>Damüls</v>
          </cell>
        </row>
        <row r="21">
          <cell r="A21" t="str">
            <v>Donbirn - Watzenegg</v>
          </cell>
        </row>
        <row r="22">
          <cell r="A22" t="str">
            <v>Doren</v>
          </cell>
        </row>
        <row r="23">
          <cell r="A23" t="str">
            <v>Dornbirn</v>
          </cell>
        </row>
        <row r="24">
          <cell r="A24" t="str">
            <v>Dornbirn - Ebnit</v>
          </cell>
        </row>
        <row r="25">
          <cell r="A25" t="str">
            <v>Dornbirn - Kehlegg</v>
          </cell>
        </row>
        <row r="26">
          <cell r="A26" t="str">
            <v>Düns</v>
          </cell>
        </row>
        <row r="27">
          <cell r="A27" t="str">
            <v>Dünserberg</v>
          </cell>
        </row>
        <row r="28">
          <cell r="A28" t="str">
            <v>Egg</v>
          </cell>
        </row>
        <row r="29">
          <cell r="A29" t="str">
            <v>Eichenberg</v>
          </cell>
        </row>
        <row r="30">
          <cell r="A30" t="str">
            <v>Feldkirch</v>
          </cell>
        </row>
        <row r="31">
          <cell r="A31" t="str">
            <v>Fontanella</v>
          </cell>
        </row>
        <row r="32">
          <cell r="A32" t="str">
            <v>Frastanz</v>
          </cell>
        </row>
        <row r="33">
          <cell r="A33" t="str">
            <v>Frastanz - Amerlügern</v>
          </cell>
        </row>
        <row r="34">
          <cell r="A34" t="str">
            <v>Frastanz - Fellengatter</v>
          </cell>
        </row>
        <row r="35">
          <cell r="A35" t="str">
            <v>Frastanz - Frastaferders</v>
          </cell>
        </row>
        <row r="36">
          <cell r="A36" t="str">
            <v>Frastanz - Gampelün</v>
          </cell>
        </row>
        <row r="37">
          <cell r="A37" t="str">
            <v>Fraxern</v>
          </cell>
        </row>
        <row r="38">
          <cell r="A38" t="str">
            <v>Fußach</v>
          </cell>
        </row>
        <row r="39">
          <cell r="A39" t="str">
            <v>Gaißau</v>
          </cell>
        </row>
        <row r="40">
          <cell r="A40" t="str">
            <v>Gaschurn</v>
          </cell>
        </row>
        <row r="41">
          <cell r="A41" t="str">
            <v>Göfis</v>
          </cell>
        </row>
        <row r="42">
          <cell r="A42" t="str">
            <v>Götzis</v>
          </cell>
        </row>
        <row r="43">
          <cell r="A43" t="str">
            <v>Götzis - Meschach</v>
          </cell>
        </row>
        <row r="44">
          <cell r="A44" t="str">
            <v>Hard</v>
          </cell>
        </row>
        <row r="45">
          <cell r="A45" t="str">
            <v>Hittisau</v>
          </cell>
        </row>
        <row r="46">
          <cell r="A46" t="str">
            <v>Höchst</v>
          </cell>
        </row>
        <row r="47">
          <cell r="A47" t="str">
            <v>Hohenems</v>
          </cell>
        </row>
        <row r="48">
          <cell r="A48" t="str">
            <v>Hohenems - Reuthe</v>
          </cell>
        </row>
        <row r="49">
          <cell r="A49" t="str">
            <v>Hohenweiler</v>
          </cell>
        </row>
        <row r="50">
          <cell r="A50" t="str">
            <v>Hörbranz</v>
          </cell>
        </row>
        <row r="51">
          <cell r="A51" t="str">
            <v>Innerbraz</v>
          </cell>
        </row>
        <row r="52">
          <cell r="A52" t="str">
            <v>Kennelbach</v>
          </cell>
        </row>
        <row r="53">
          <cell r="A53" t="str">
            <v>Klaus</v>
          </cell>
        </row>
        <row r="54">
          <cell r="A54" t="str">
            <v>Klösterle</v>
          </cell>
        </row>
        <row r="55">
          <cell r="A55" t="str">
            <v>Koblach</v>
          </cell>
        </row>
        <row r="56">
          <cell r="A56" t="str">
            <v>Krumbach</v>
          </cell>
        </row>
        <row r="57">
          <cell r="A57" t="str">
            <v>Langen bei Bregenz</v>
          </cell>
        </row>
        <row r="58">
          <cell r="A58" t="str">
            <v>Langenegg</v>
          </cell>
        </row>
        <row r="59">
          <cell r="A59" t="str">
            <v>Laterns</v>
          </cell>
        </row>
        <row r="60">
          <cell r="A60" t="str">
            <v>Lauterach</v>
          </cell>
        </row>
        <row r="61">
          <cell r="A61" t="str">
            <v>Lech</v>
          </cell>
        </row>
        <row r="62">
          <cell r="A62" t="str">
            <v>Lingenau</v>
          </cell>
        </row>
        <row r="63">
          <cell r="A63" t="str">
            <v>Lochau</v>
          </cell>
        </row>
        <row r="64">
          <cell r="A64" t="str">
            <v>Lorüns</v>
          </cell>
        </row>
        <row r="65">
          <cell r="A65" t="str">
            <v>Ludesch</v>
          </cell>
        </row>
        <row r="66">
          <cell r="A66" t="str">
            <v>Lustenau</v>
          </cell>
        </row>
        <row r="67">
          <cell r="A67" t="str">
            <v>Mäder</v>
          </cell>
        </row>
        <row r="68">
          <cell r="A68" t="str">
            <v>Meiningen</v>
          </cell>
        </row>
        <row r="69">
          <cell r="A69" t="str">
            <v>Mellau</v>
          </cell>
        </row>
        <row r="70">
          <cell r="A70" t="str">
            <v>Mittelberg</v>
          </cell>
        </row>
        <row r="71">
          <cell r="A71" t="str">
            <v>Möggers</v>
          </cell>
        </row>
        <row r="72">
          <cell r="A72" t="str">
            <v>Nenzing</v>
          </cell>
        </row>
        <row r="73">
          <cell r="A73" t="str">
            <v>Nenzing - Gurtis</v>
          </cell>
        </row>
        <row r="74">
          <cell r="A74" t="str">
            <v>Nenzing - Latz</v>
          </cell>
        </row>
        <row r="75">
          <cell r="A75" t="str">
            <v>Nüziders</v>
          </cell>
        </row>
        <row r="76">
          <cell r="A76" t="str">
            <v>Raggal</v>
          </cell>
        </row>
        <row r="77">
          <cell r="A77" t="str">
            <v>Rankweil</v>
          </cell>
        </row>
        <row r="78">
          <cell r="A78" t="str">
            <v>Reuthe</v>
          </cell>
        </row>
        <row r="79">
          <cell r="A79" t="str">
            <v>Riefensberg</v>
          </cell>
        </row>
        <row r="80">
          <cell r="A80" t="str">
            <v>Röns</v>
          </cell>
        </row>
        <row r="81">
          <cell r="A81" t="str">
            <v>Röthis</v>
          </cell>
        </row>
        <row r="82">
          <cell r="A82" t="str">
            <v>Satteins</v>
          </cell>
        </row>
        <row r="83">
          <cell r="A83" t="str">
            <v>Schlins</v>
          </cell>
        </row>
        <row r="84">
          <cell r="A84" t="str">
            <v>Schnepfau</v>
          </cell>
        </row>
        <row r="85">
          <cell r="A85" t="str">
            <v>Schnifis</v>
          </cell>
        </row>
        <row r="86">
          <cell r="A86" t="str">
            <v>Schoppernau</v>
          </cell>
        </row>
        <row r="87">
          <cell r="A87" t="str">
            <v>Schröcken</v>
          </cell>
        </row>
        <row r="88">
          <cell r="A88" t="str">
            <v>Schruns</v>
          </cell>
        </row>
        <row r="89">
          <cell r="A89" t="str">
            <v>Schwarzach</v>
          </cell>
        </row>
        <row r="90">
          <cell r="A90" t="str">
            <v>Schwarzenberg</v>
          </cell>
        </row>
        <row r="91">
          <cell r="A91" t="str">
            <v>Sibratsgfäll</v>
          </cell>
        </row>
        <row r="92">
          <cell r="A92" t="str">
            <v>Silbertal</v>
          </cell>
        </row>
        <row r="93">
          <cell r="A93" t="str">
            <v>Sonntag</v>
          </cell>
        </row>
        <row r="94">
          <cell r="A94" t="str">
            <v>St. Anton im Montafon</v>
          </cell>
        </row>
        <row r="95">
          <cell r="A95" t="str">
            <v>St. Gallenkirch</v>
          </cell>
        </row>
        <row r="96">
          <cell r="A96" t="str">
            <v>St. Gerold</v>
          </cell>
        </row>
        <row r="97">
          <cell r="A97" t="str">
            <v>Stallehr</v>
          </cell>
        </row>
        <row r="98">
          <cell r="A98" t="str">
            <v>Sulz</v>
          </cell>
        </row>
        <row r="99">
          <cell r="A99" t="str">
            <v>Sulzberg</v>
          </cell>
        </row>
        <row r="100">
          <cell r="A100" t="str">
            <v>Thüringen</v>
          </cell>
        </row>
        <row r="101">
          <cell r="A101" t="str">
            <v>Thüringerberg</v>
          </cell>
        </row>
        <row r="102">
          <cell r="A102" t="str">
            <v>Tschagguns</v>
          </cell>
        </row>
        <row r="103">
          <cell r="A103" t="str">
            <v>Übersaxen</v>
          </cell>
        </row>
        <row r="104">
          <cell r="A104" t="str">
            <v>Vandans</v>
          </cell>
        </row>
        <row r="105">
          <cell r="A105" t="str">
            <v>Viktorsberg</v>
          </cell>
        </row>
        <row r="106">
          <cell r="A106" t="str">
            <v>Warth</v>
          </cell>
        </row>
        <row r="107">
          <cell r="A107" t="str">
            <v>Weiler</v>
          </cell>
        </row>
        <row r="108">
          <cell r="A108" t="str">
            <v>Wolfurt</v>
          </cell>
        </row>
        <row r="109">
          <cell r="A109" t="str">
            <v>Zwischenwasser - Batschuns</v>
          </cell>
        </row>
        <row r="110">
          <cell r="A110" t="str">
            <v>Zwischenwasser - Dafins</v>
          </cell>
        </row>
        <row r="111">
          <cell r="A111" t="str">
            <v>Zwischenwasser - Muntlix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C41"/>
  <sheetViews>
    <sheetView showGridLines="0" zoomScale="85" zoomScaleNormal="85" workbookViewId="0">
      <selection activeCell="A7" sqref="A7"/>
    </sheetView>
  </sheetViews>
  <sheetFormatPr baseColWidth="10" defaultColWidth="11.42578125" defaultRowHeight="12.75"/>
  <cols>
    <col min="1" max="1" width="43" style="1" customWidth="1"/>
    <col min="2" max="2" width="44.42578125" style="1" customWidth="1"/>
    <col min="3" max="3" width="0" style="1" hidden="1" customWidth="1"/>
    <col min="4" max="16384" width="11.42578125" style="1"/>
  </cols>
  <sheetData>
    <row r="1" spans="1:2" ht="27.75" customHeight="1">
      <c r="A1" s="802" t="s">
        <v>417</v>
      </c>
      <c r="B1" s="802"/>
    </row>
    <row r="2" spans="1:2" ht="15.75" customHeight="1">
      <c r="A2" s="802"/>
      <c r="B2" s="802"/>
    </row>
    <row r="3" spans="1:2">
      <c r="A3" s="802"/>
      <c r="B3" s="802"/>
    </row>
    <row r="4" spans="1:2">
      <c r="A4" s="802"/>
      <c r="B4" s="802"/>
    </row>
    <row r="5" spans="1:2">
      <c r="A5" s="802"/>
      <c r="B5" s="802"/>
    </row>
    <row r="6" spans="1:2">
      <c r="A6" s="802"/>
      <c r="B6" s="802"/>
    </row>
    <row r="7" spans="1:2">
      <c r="A7" s="2"/>
      <c r="B7" s="2"/>
    </row>
    <row r="8" spans="1:2">
      <c r="A8" s="2"/>
      <c r="B8" s="2"/>
    </row>
    <row r="9" spans="1:2" ht="7.5" customHeight="1">
      <c r="A9" s="2"/>
      <c r="B9" s="2"/>
    </row>
    <row r="10" spans="1:2" ht="20.25">
      <c r="A10" s="803" t="s">
        <v>0</v>
      </c>
      <c r="B10" s="803"/>
    </row>
    <row r="11" spans="1:2" ht="5.25" customHeight="1">
      <c r="A11" s="2"/>
      <c r="B11" s="2"/>
    </row>
    <row r="12" spans="1:2" ht="20.100000000000001" customHeight="1">
      <c r="A12" s="3" t="s">
        <v>1</v>
      </c>
      <c r="B12" s="4"/>
    </row>
    <row r="13" spans="1:2" ht="20.100000000000001" customHeight="1">
      <c r="A13" s="3" t="s">
        <v>2</v>
      </c>
      <c r="B13" s="5"/>
    </row>
    <row r="14" spans="1:2" ht="20.100000000000001" customHeight="1">
      <c r="A14" s="3" t="s">
        <v>3</v>
      </c>
      <c r="B14" s="5"/>
    </row>
    <row r="15" spans="1:2" ht="20.100000000000001" customHeight="1">
      <c r="A15" s="3" t="s">
        <v>4</v>
      </c>
      <c r="B15" s="5"/>
    </row>
    <row r="16" spans="1:2" ht="20.100000000000001" customHeight="1">
      <c r="A16" s="3" t="s">
        <v>5</v>
      </c>
      <c r="B16" s="5"/>
    </row>
    <row r="17" spans="1:3" ht="20.100000000000001" customHeight="1">
      <c r="A17" s="3" t="s">
        <v>6</v>
      </c>
      <c r="B17" s="5"/>
    </row>
    <row r="18" spans="1:3" ht="18.75" customHeight="1">
      <c r="A18" s="6" t="s">
        <v>269</v>
      </c>
      <c r="B18" s="7">
        <f>Punktevergabe!F8</f>
        <v>0</v>
      </c>
      <c r="C18" s="1">
        <v>-30</v>
      </c>
    </row>
    <row r="19" spans="1:3" ht="9.75" customHeight="1">
      <c r="A19" s="2"/>
      <c r="B19" s="2"/>
      <c r="C19" s="1">
        <v>-50</v>
      </c>
    </row>
    <row r="20" spans="1:3" ht="20.25">
      <c r="A20" s="804" t="s">
        <v>265</v>
      </c>
      <c r="B20" s="804"/>
      <c r="C20" s="1">
        <v>-60</v>
      </c>
    </row>
    <row r="21" spans="1:3" ht="8.25" customHeight="1">
      <c r="A21" s="2"/>
      <c r="B21" s="2"/>
      <c r="C21" s="1">
        <v>-70</v>
      </c>
    </row>
    <row r="22" spans="1:3" ht="30" customHeight="1">
      <c r="A22" s="8" t="s">
        <v>266</v>
      </c>
      <c r="B22" s="5"/>
    </row>
    <row r="23" spans="1:3" ht="20.100000000000001" customHeight="1">
      <c r="A23" s="8" t="s">
        <v>267</v>
      </c>
      <c r="B23" s="5"/>
    </row>
    <row r="24" spans="1:3" ht="20.100000000000001" customHeight="1">
      <c r="A24" s="8" t="s">
        <v>268</v>
      </c>
      <c r="B24" s="9"/>
    </row>
    <row r="25" spans="1:3" ht="8.25" customHeight="1">
      <c r="A25" s="2"/>
      <c r="B25" s="2"/>
    </row>
    <row r="26" spans="1:3">
      <c r="A26" s="2"/>
      <c r="B26" s="2"/>
    </row>
    <row r="27" spans="1:3">
      <c r="A27" s="2"/>
      <c r="B27" s="2"/>
    </row>
    <row r="28" spans="1:3">
      <c r="A28" s="2"/>
      <c r="B28" s="2"/>
    </row>
    <row r="29" spans="1:3">
      <c r="A29" s="2"/>
      <c r="B29" s="2"/>
    </row>
    <row r="30" spans="1:3">
      <c r="A30" s="2"/>
      <c r="B30" s="2"/>
    </row>
    <row r="31" spans="1:3">
      <c r="A31" s="2"/>
      <c r="B31" s="2"/>
    </row>
    <row r="32" spans="1:3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 ht="10.5" customHeight="1">
      <c r="A38" s="2"/>
      <c r="B38" s="2"/>
    </row>
    <row r="39" spans="1:2" ht="21" customHeight="1">
      <c r="A39" s="3" t="s">
        <v>7</v>
      </c>
      <c r="B39" s="9"/>
    </row>
    <row r="40" spans="1:2" ht="69" customHeight="1">
      <c r="A40" s="3" t="s">
        <v>270</v>
      </c>
      <c r="B40" s="5"/>
    </row>
    <row r="41" spans="1:2">
      <c r="A41" s="2"/>
      <c r="B41" s="2"/>
    </row>
  </sheetData>
  <mergeCells count="3">
    <mergeCell ref="A1:B6"/>
    <mergeCell ref="A10:B10"/>
    <mergeCell ref="A20:B20"/>
  </mergeCells>
  <pageMargins left="0.59055118110236238" right="0.59055118110236238" top="0.59055118110236238" bottom="0.59055118110236238" header="0.31496062992125984" footer="0.31496062992125984"/>
  <pageSetup paperSize="9" scale="91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showGridLines="0" tabSelected="1" zoomScale="115" zoomScaleNormal="115" workbookViewId="0">
      <selection activeCell="D4" sqref="D4"/>
    </sheetView>
  </sheetViews>
  <sheetFormatPr baseColWidth="10" defaultColWidth="11.42578125" defaultRowHeight="12.75"/>
  <cols>
    <col min="1" max="1" width="37.42578125" style="687" customWidth="1"/>
    <col min="2" max="2" width="78.7109375" style="687" customWidth="1"/>
    <col min="3" max="3" width="10.28515625" style="687" customWidth="1"/>
    <col min="4" max="4" width="11.7109375" style="714" customWidth="1"/>
    <col min="5" max="5" width="11.42578125" style="687" hidden="1" customWidth="1"/>
    <col min="6" max="6" width="30.7109375" style="687" customWidth="1"/>
    <col min="7" max="16384" width="11.42578125" style="687"/>
  </cols>
  <sheetData>
    <row r="1" spans="1:6" ht="24.75" customHeight="1">
      <c r="A1" s="922" t="s">
        <v>394</v>
      </c>
      <c r="B1" s="922"/>
      <c r="C1" s="922"/>
      <c r="D1" s="922"/>
      <c r="E1" s="688"/>
      <c r="F1" s="688"/>
    </row>
    <row r="2" spans="1:6" ht="7.5" customHeight="1" thickBot="1">
      <c r="A2" s="716"/>
      <c r="B2" s="716"/>
      <c r="C2" s="717"/>
      <c r="D2" s="718"/>
      <c r="E2" s="688"/>
      <c r="F2" s="688"/>
    </row>
    <row r="3" spans="1:6" s="697" customFormat="1" ht="41.25" customHeight="1">
      <c r="A3" s="719" t="s">
        <v>68</v>
      </c>
      <c r="B3" s="720" t="s">
        <v>65</v>
      </c>
      <c r="C3" s="721" t="s">
        <v>386</v>
      </c>
      <c r="D3" s="722" t="s">
        <v>23</v>
      </c>
      <c r="E3" s="695"/>
      <c r="F3" s="723" t="s">
        <v>24</v>
      </c>
    </row>
    <row r="4" spans="1:6" ht="30" customHeight="1">
      <c r="A4" s="724" t="s">
        <v>387</v>
      </c>
      <c r="B4" s="706" t="s">
        <v>388</v>
      </c>
      <c r="C4" s="707">
        <v>10</v>
      </c>
      <c r="D4" s="704"/>
      <c r="E4" s="725">
        <v>0</v>
      </c>
      <c r="F4" s="701"/>
    </row>
    <row r="5" spans="1:6" ht="30" customHeight="1">
      <c r="A5" s="724" t="s">
        <v>389</v>
      </c>
      <c r="B5" s="706" t="s">
        <v>390</v>
      </c>
      <c r="C5" s="707">
        <v>10</v>
      </c>
      <c r="D5" s="726"/>
      <c r="E5" s="725">
        <v>10</v>
      </c>
      <c r="F5" s="701"/>
    </row>
    <row r="6" spans="1:6" ht="30" customHeight="1">
      <c r="A6" s="724" t="s">
        <v>391</v>
      </c>
      <c r="B6" s="706" t="s">
        <v>392</v>
      </c>
      <c r="C6" s="707">
        <v>10</v>
      </c>
      <c r="D6" s="704">
        <v>0</v>
      </c>
      <c r="E6" s="725"/>
      <c r="F6" s="701"/>
    </row>
    <row r="7" spans="1:6" ht="24.95" customHeight="1" thickBot="1">
      <c r="A7" s="930" t="s">
        <v>67</v>
      </c>
      <c r="B7" s="931"/>
      <c r="C7" s="709"/>
      <c r="D7" s="710">
        <f>IF(SUM(D4:D6)&lt;=30,SUM(D4:D6),30)</f>
        <v>0</v>
      </c>
      <c r="E7" s="711"/>
      <c r="F7" s="711"/>
    </row>
    <row r="8" spans="1:6" ht="24.95" customHeight="1">
      <c r="A8" s="929"/>
      <c r="B8" s="929"/>
      <c r="C8" s="712"/>
      <c r="D8" s="713"/>
      <c r="E8" s="688"/>
      <c r="F8" s="688"/>
    </row>
    <row r="9" spans="1:6" ht="70.5" customHeight="1">
      <c r="A9" s="932" t="s">
        <v>393</v>
      </c>
      <c r="B9" s="933"/>
      <c r="C9" s="728"/>
    </row>
    <row r="10" spans="1:6" ht="38.25" customHeight="1"/>
    <row r="11" spans="1:6" ht="24.95" customHeight="1"/>
    <row r="12" spans="1:6" s="711" customFormat="1" ht="32.25" customHeight="1">
      <c r="A12" s="687"/>
      <c r="B12" s="687"/>
      <c r="C12" s="687"/>
      <c r="D12" s="714"/>
      <c r="E12" s="687"/>
      <c r="F12" s="687"/>
    </row>
    <row r="13" spans="1:6" ht="14.25" customHeight="1"/>
  </sheetData>
  <sheetProtection selectLockedCells="1"/>
  <mergeCells count="4">
    <mergeCell ref="A1:D1"/>
    <mergeCell ref="A7:B7"/>
    <mergeCell ref="A8:B8"/>
    <mergeCell ref="A9:B9"/>
  </mergeCells>
  <dataValidations count="1">
    <dataValidation type="list" allowBlank="1" showInputMessage="1" showErrorMessage="1" errorTitle="Falscher Wert!" error="Bitte geben Sie die Zahl 0 oder 1 ein." sqref="D4:D6">
      <formula1>$E$4:$E$5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>
    <pageSetUpPr fitToPage="1"/>
  </sheetPr>
  <dimension ref="A1:N20"/>
  <sheetViews>
    <sheetView showGridLines="0" workbookViewId="0">
      <selection activeCell="B4" sqref="B4"/>
    </sheetView>
  </sheetViews>
  <sheetFormatPr baseColWidth="10" defaultColWidth="11.42578125" defaultRowHeight="14.25"/>
  <cols>
    <col min="1" max="1" width="35.85546875" style="292" customWidth="1"/>
    <col min="2" max="2" width="42.7109375" style="292" bestFit="1" customWidth="1"/>
    <col min="3" max="3" width="11.42578125" style="292"/>
    <col min="4" max="4" width="30.7109375" style="292" customWidth="1"/>
    <col min="5" max="5" width="5.7109375" style="292" customWidth="1"/>
    <col min="6" max="6" width="35.85546875" style="292" hidden="1" customWidth="1"/>
    <col min="7" max="7" width="42.7109375" style="292" hidden="1" customWidth="1"/>
    <col min="8" max="8" width="11.42578125" style="292" hidden="1" customWidth="1"/>
    <col min="9" max="9" width="30.7109375" style="292" hidden="1" customWidth="1"/>
    <col min="10" max="10" width="5.7109375" style="292" customWidth="1"/>
    <col min="11" max="11" width="35.85546875" style="292" hidden="1" customWidth="1"/>
    <col min="12" max="12" width="42.7109375" style="292" hidden="1" customWidth="1"/>
    <col min="13" max="13" width="11.42578125" style="292" hidden="1" customWidth="1"/>
    <col min="14" max="14" width="30.7109375" style="292" hidden="1" customWidth="1"/>
    <col min="15" max="16384" width="11.42578125" style="292"/>
  </cols>
  <sheetData>
    <row r="1" spans="1:14" ht="24.95" customHeight="1">
      <c r="A1" s="845" t="s">
        <v>138</v>
      </c>
      <c r="B1" s="845"/>
      <c r="C1" s="845"/>
      <c r="F1" s="940" t="s">
        <v>139</v>
      </c>
      <c r="G1" s="941"/>
      <c r="H1" s="942"/>
      <c r="K1" s="940" t="s">
        <v>140</v>
      </c>
      <c r="L1" s="943"/>
      <c r="M1" s="944"/>
    </row>
    <row r="2" spans="1:14" ht="7.5" customHeight="1">
      <c r="A2" s="181"/>
      <c r="B2" s="181"/>
      <c r="C2" s="181"/>
    </row>
    <row r="3" spans="1:14" s="293" customFormat="1" ht="24.95" customHeight="1">
      <c r="A3" s="945" t="str">
        <f>IF(ISTEXT(Punktevergabe!E5),CONCATENATE("Eingabefeld PHPP ", (Punktevergabe!E5),""))</f>
        <v>Eingabefeld PHPP Neubau</v>
      </c>
      <c r="B3" s="946"/>
      <c r="C3" s="947"/>
      <c r="D3" s="294" t="s">
        <v>24</v>
      </c>
      <c r="F3" s="934" t="s">
        <v>141</v>
      </c>
      <c r="G3" s="935"/>
      <c r="H3" s="936"/>
      <c r="I3" s="294" t="s">
        <v>24</v>
      </c>
      <c r="K3" s="934" t="s">
        <v>142</v>
      </c>
      <c r="L3" s="935"/>
      <c r="M3" s="936"/>
      <c r="N3" s="294" t="s">
        <v>24</v>
      </c>
    </row>
    <row r="4" spans="1:14" s="293" customFormat="1" ht="24.95" customHeight="1">
      <c r="A4" s="295" t="s">
        <v>143</v>
      </c>
      <c r="B4" s="296"/>
      <c r="C4" s="297" t="s">
        <v>144</v>
      </c>
      <c r="D4" s="294"/>
      <c r="F4" s="295" t="s">
        <v>143</v>
      </c>
      <c r="G4" s="298" t="str">
        <f t="shared" ref="G4:G8" si="0">IF(AND(ISNUMBER(B4)),B4,"")</f>
        <v/>
      </c>
      <c r="H4" s="297" t="s">
        <v>144</v>
      </c>
      <c r="I4" s="294"/>
      <c r="K4" s="295" t="s">
        <v>143</v>
      </c>
      <c r="L4" s="298" t="str">
        <f t="shared" ref="L4:L8" si="1">IF(AND(ISNUMBER(B4)),B4,"")</f>
        <v/>
      </c>
      <c r="M4" s="297" t="s">
        <v>144</v>
      </c>
      <c r="N4" s="294"/>
    </row>
    <row r="5" spans="1:14" s="299" customFormat="1" ht="24.95" customHeight="1">
      <c r="A5" s="295" t="s">
        <v>145</v>
      </c>
      <c r="B5" s="296"/>
      <c r="C5" s="297" t="s">
        <v>146</v>
      </c>
      <c r="D5" s="300"/>
      <c r="F5" s="295" t="s">
        <v>145</v>
      </c>
      <c r="G5" s="298" t="str">
        <f t="shared" si="0"/>
        <v/>
      </c>
      <c r="H5" s="297" t="s">
        <v>146</v>
      </c>
      <c r="I5" s="300"/>
      <c r="K5" s="295" t="s">
        <v>145</v>
      </c>
      <c r="L5" s="298" t="str">
        <f t="shared" si="1"/>
        <v/>
      </c>
      <c r="M5" s="297" t="s">
        <v>146</v>
      </c>
      <c r="N5" s="300"/>
    </row>
    <row r="6" spans="1:14" s="299" customFormat="1" ht="24.95" customHeight="1">
      <c r="A6" s="295" t="s">
        <v>147</v>
      </c>
      <c r="B6" s="296"/>
      <c r="C6" s="297" t="s">
        <v>146</v>
      </c>
      <c r="D6" s="300"/>
      <c r="F6" s="301" t="s">
        <v>148</v>
      </c>
      <c r="G6" s="298" t="str">
        <f t="shared" si="0"/>
        <v/>
      </c>
      <c r="H6" s="297" t="s">
        <v>146</v>
      </c>
      <c r="I6" s="302" t="s">
        <v>149</v>
      </c>
      <c r="K6" s="301" t="s">
        <v>148</v>
      </c>
      <c r="L6" s="298" t="str">
        <f t="shared" si="1"/>
        <v/>
      </c>
      <c r="M6" s="297" t="s">
        <v>146</v>
      </c>
      <c r="N6" s="302" t="s">
        <v>149</v>
      </c>
    </row>
    <row r="7" spans="1:14" s="299" customFormat="1" ht="24.95" customHeight="1">
      <c r="A7" s="295" t="s">
        <v>150</v>
      </c>
      <c r="B7" s="296"/>
      <c r="C7" s="297" t="s">
        <v>146</v>
      </c>
      <c r="D7" s="300"/>
      <c r="F7" s="295" t="s">
        <v>150</v>
      </c>
      <c r="G7" s="298" t="str">
        <f t="shared" si="0"/>
        <v/>
      </c>
      <c r="H7" s="297" t="s">
        <v>146</v>
      </c>
      <c r="I7" s="300"/>
      <c r="K7" s="295" t="s">
        <v>150</v>
      </c>
      <c r="L7" s="298" t="str">
        <f t="shared" si="1"/>
        <v/>
      </c>
      <c r="M7" s="297" t="s">
        <v>146</v>
      </c>
      <c r="N7" s="300"/>
    </row>
    <row r="8" spans="1:14" s="299" customFormat="1" ht="24.95" customHeight="1">
      <c r="A8" s="295" t="s">
        <v>151</v>
      </c>
      <c r="B8" s="303"/>
      <c r="C8" s="304" t="s">
        <v>152</v>
      </c>
      <c r="D8" s="300"/>
      <c r="F8" s="295" t="s">
        <v>153</v>
      </c>
      <c r="G8" s="305" t="str">
        <f t="shared" si="0"/>
        <v/>
      </c>
      <c r="H8" s="304" t="s">
        <v>154</v>
      </c>
      <c r="I8" s="300"/>
      <c r="K8" s="295" t="s">
        <v>153</v>
      </c>
      <c r="L8" s="305" t="str">
        <f t="shared" si="1"/>
        <v/>
      </c>
      <c r="M8" s="304" t="s">
        <v>154</v>
      </c>
      <c r="N8" s="300"/>
    </row>
    <row r="9" spans="1:14" s="299" customFormat="1" ht="24.95" customHeight="1">
      <c r="A9" s="295" t="s">
        <v>155</v>
      </c>
      <c r="B9" s="306">
        <f>'B 1.5'!B5</f>
        <v>0</v>
      </c>
      <c r="C9" s="304" t="s">
        <v>156</v>
      </c>
      <c r="D9" s="300"/>
      <c r="F9" s="307" t="s">
        <v>155</v>
      </c>
      <c r="G9" s="308">
        <f>'B 1.5'!B5</f>
        <v>0</v>
      </c>
      <c r="H9" s="304" t="s">
        <v>156</v>
      </c>
      <c r="I9" s="309"/>
      <c r="K9" s="307" t="s">
        <v>155</v>
      </c>
      <c r="L9" s="308">
        <f>'B 1.5'!B5</f>
        <v>0</v>
      </c>
      <c r="M9" s="304" t="s">
        <v>156</v>
      </c>
      <c r="N9" s="309"/>
    </row>
    <row r="10" spans="1:14" ht="24.75" customHeight="1">
      <c r="A10" s="295" t="s">
        <v>157</v>
      </c>
      <c r="B10" s="310"/>
      <c r="C10" s="311"/>
      <c r="D10" s="312" t="s">
        <v>158</v>
      </c>
      <c r="E10" s="313"/>
      <c r="F10" s="314" t="s">
        <v>157</v>
      </c>
      <c r="G10" s="315" t="str">
        <f>IF(ISTEXT(B10),B10,"")</f>
        <v/>
      </c>
      <c r="H10" s="316"/>
      <c r="I10" s="317" t="s">
        <v>158</v>
      </c>
      <c r="K10" s="318" t="s">
        <v>157</v>
      </c>
      <c r="L10" s="315" t="str">
        <f>IF(ISTEXT(B10),B10,"")</f>
        <v/>
      </c>
      <c r="M10" s="316"/>
      <c r="N10" s="319" t="s">
        <v>158</v>
      </c>
    </row>
    <row r="11" spans="1:14">
      <c r="A11" s="320"/>
      <c r="C11" s="321"/>
      <c r="D11" s="320"/>
      <c r="E11" s="322"/>
      <c r="F11" s="323"/>
      <c r="H11" s="324"/>
      <c r="I11" s="320"/>
      <c r="K11" s="323"/>
      <c r="M11" s="324"/>
      <c r="N11" s="320"/>
    </row>
    <row r="12" spans="1:14">
      <c r="A12" s="325"/>
      <c r="C12" s="324"/>
      <c r="E12" s="322"/>
      <c r="F12" s="323"/>
      <c r="H12" s="324"/>
      <c r="K12" s="323"/>
      <c r="M12" s="324"/>
    </row>
    <row r="13" spans="1:14" ht="24.95" customHeight="1">
      <c r="A13" s="948" t="s">
        <v>159</v>
      </c>
      <c r="B13" s="949"/>
      <c r="C13" s="950"/>
      <c r="F13" s="937" t="s">
        <v>160</v>
      </c>
      <c r="G13" s="938"/>
      <c r="H13" s="939"/>
      <c r="K13" s="937" t="s">
        <v>161</v>
      </c>
      <c r="L13" s="938"/>
      <c r="M13" s="939"/>
    </row>
    <row r="14" spans="1:14" s="299" customFormat="1" ht="24.95" customHeight="1">
      <c r="A14" s="295" t="s">
        <v>150</v>
      </c>
      <c r="B14" s="326" t="str">
        <f>IF(AND(ISNUMBER(B7),ISNUMBER(B4),ISBLANK(B10)),B7,IF(AND(ISNUMBER(B7),ISNUMBER(B4),ISTEXT(B10)),(B7-(B9/B4)*1),""))</f>
        <v/>
      </c>
      <c r="C14" s="327" t="s">
        <v>162</v>
      </c>
      <c r="D14" s="328"/>
      <c r="E14" s="292"/>
      <c r="F14" s="329" t="s">
        <v>150</v>
      </c>
      <c r="G14" s="330" t="str">
        <f>IF(AND(ISNUMBER(B7),ISNUMBER(B4),ISBLANK(B10)),B7,IF(AND(ISNUMBER(B7),ISNUMBER(B4),ISTEXT(B10)),(B7-(B9/B4)*1),""))</f>
        <v/>
      </c>
      <c r="H14" s="327" t="s">
        <v>162</v>
      </c>
      <c r="I14" s="328"/>
      <c r="K14" s="329" t="s">
        <v>150</v>
      </c>
      <c r="L14" s="330" t="str">
        <f>IF(AND(ISNUMBER(B7),ISNUMBER(B4),ISBLANK(B10)),B7,IF(AND(ISNUMBER(B7),ISNUMBER(B4),ISTEXT(B10)),(B7-(B9/B4)*1),""))</f>
        <v/>
      </c>
      <c r="M14" s="327" t="s">
        <v>162</v>
      </c>
      <c r="N14" s="328"/>
    </row>
    <row r="15" spans="1:14" s="299" customFormat="1" ht="24.95" customHeight="1">
      <c r="A15" s="331" t="s">
        <v>151</v>
      </c>
      <c r="B15" s="326" t="str">
        <f>IF(AND(ISNUMBER(B8),ISNUMBER(B4),ISBLANK(B10)),B8,IF(AND(ISNUMBER(B8),ISNUMBER(B4),ISTEXT(B10)),(B8-(B9/B4)*0.532),""))</f>
        <v/>
      </c>
      <c r="C15" s="297" t="s">
        <v>163</v>
      </c>
      <c r="D15" s="328"/>
      <c r="F15" s="329" t="s">
        <v>153</v>
      </c>
      <c r="G15" s="330" t="str">
        <f>IF(AND(ISNUMBER(B8),ISNUMBER(B4),ISBLANK(B10)),B8,IF(AND(ISNUMBER(B8),ISNUMBER(B4),ISTEXT(B10)),(B8-(B9/B4)*0.532),""))</f>
        <v/>
      </c>
      <c r="H15" s="297" t="s">
        <v>164</v>
      </c>
      <c r="I15" s="328"/>
      <c r="K15" s="329" t="s">
        <v>153</v>
      </c>
      <c r="L15" s="330" t="str">
        <f>IF(AND(ISNUMBER(B8),ISNUMBER(B4),ISBLANK(B10)),B8,IF(AND(ISNUMBER(B8),ISNUMBER(B4),ISTEXT(B10)),(B8-(B9/B4)*0.532),""))</f>
        <v/>
      </c>
      <c r="M15" s="297" t="s">
        <v>164</v>
      </c>
      <c r="N15" s="328"/>
    </row>
    <row r="16" spans="1:14" s="299" customFormat="1" ht="24.95" customHeight="1">
      <c r="A16" s="332" t="s">
        <v>165</v>
      </c>
      <c r="B16" s="333" t="str">
        <f>IF(AND(ISTEXT(Punktevergabe!E5),(Punktevergabe!E5="Neubau")),'B1 '!G16,L16)</f>
        <v/>
      </c>
      <c r="C16" s="334"/>
      <c r="D16" s="328"/>
      <c r="F16" s="335" t="s">
        <v>165</v>
      </c>
      <c r="G16" s="336" t="str">
        <f>IF(ISNUMBER(G5),IF(G5&lt;=15,125,IF(AND(G5&lt;=45,G5&gt;15),ROUND(125+(0-125)/(45-15)*(G5-15),0),"Mindestanforderung nicht erfüllt")),"")</f>
        <v/>
      </c>
      <c r="H16" s="334"/>
      <c r="I16" s="328"/>
      <c r="K16" s="335" t="s">
        <v>165</v>
      </c>
      <c r="L16" s="336" t="str">
        <f>IF(ISNUMBER(L5),IF(L5&lt;=25,125,IF(AND(L5&lt;=58,L5&gt;25),ROUND(125+(0-125)/(58-25)*(L5-25),0),"Mindestanforderung nicht erfüllt")),"")</f>
        <v/>
      </c>
      <c r="M16" s="334"/>
      <c r="N16" s="328"/>
    </row>
    <row r="17" spans="1:14" s="299" customFormat="1" ht="24.75" customHeight="1">
      <c r="A17" s="332" t="s">
        <v>166</v>
      </c>
      <c r="B17" s="333" t="str">
        <f>IF(AND(ISTEXT(Punktevergabe!E5),(Punktevergabe!E5="Neubau")),'B1 '!G17,L17)</f>
        <v/>
      </c>
      <c r="C17" s="334"/>
      <c r="D17" s="328"/>
      <c r="F17" s="335" t="s">
        <v>166</v>
      </c>
      <c r="G17" s="336" t="str">
        <f>IF(ISNUMBER(G6),IF(G6&lt;=0,75,IF(AND(G6&lt;=5,G6&gt;0),ROUND(75+(0-75)/(5-0)*(G6-0),0),"Mindestanforderung nicht erfüllt")),"")</f>
        <v/>
      </c>
      <c r="H17" s="334"/>
      <c r="I17" s="328"/>
      <c r="K17" s="335" t="s">
        <v>166</v>
      </c>
      <c r="L17" s="336" t="str">
        <f>IF(ISNUMBER(L6),IF(L6&lt;=2,75,IF(AND(L6&lt;=10,L6&gt;2),ROUND(75+(0-75)/(10-2)*(L6-2),0),"Mindestanforderung nicht erfüllt")),"")</f>
        <v/>
      </c>
      <c r="M17" s="334"/>
      <c r="N17" s="328"/>
    </row>
    <row r="18" spans="1:14" ht="24.75" customHeight="1">
      <c r="A18" s="337" t="s">
        <v>167</v>
      </c>
      <c r="B18" s="338" t="str">
        <f>IF(AND(ISTEXT(Punktevergabe!E5),(Punktevergabe!E5="Neubau")),'B1 '!G18,L18)</f>
        <v/>
      </c>
      <c r="C18" s="334"/>
      <c r="D18" s="328"/>
      <c r="E18" s="299"/>
      <c r="F18" s="335" t="s">
        <v>167</v>
      </c>
      <c r="G18" s="338" t="str">
        <f>IF(ISNUMBER(G14),IF(G14&lt;=60,135,IF(AND(G14&lt;=180,G14&gt;60),ROUND(135+(0-135)/(180-60)*(G14-60),0),"Mindestanforderung nicht erfüllt")),"")</f>
        <v/>
      </c>
      <c r="H18" s="334"/>
      <c r="I18" s="328"/>
      <c r="K18" s="335" t="s">
        <v>167</v>
      </c>
      <c r="L18" s="338" t="str">
        <f>IF(ISNUMBER(L14),IF(L14&lt;=60,135,IF(AND(L14&lt;=200,L14&gt;60),ROUND(135+(0-135)/(200-60)*(L14-60),0),"Mindestanforderung nicht erfüllt")),"")</f>
        <v/>
      </c>
      <c r="M18" s="334"/>
      <c r="N18" s="328"/>
    </row>
    <row r="19" spans="1:14" ht="24.75" customHeight="1">
      <c r="A19" s="332" t="s">
        <v>168</v>
      </c>
      <c r="B19" s="333" t="str">
        <f>IF(AND(ISTEXT(Punktevergabe!E5),(Punktevergabe!E5="Neubau")),'B1 '!G19,L19)</f>
        <v/>
      </c>
      <c r="C19" s="339"/>
      <c r="F19" s="335" t="s">
        <v>153</v>
      </c>
      <c r="G19" s="338" t="str">
        <f>IF(ISNUMBER(G15),IF(G15&lt;=25.5,135,IF(AND(G15&lt;=35,G15&gt;25.5),ROUND(135+(0-135)/(35-25.5)*(G15-25.5),0),"Mindestanforderung nicht erfüllt")),"")</f>
        <v/>
      </c>
      <c r="H19" s="339"/>
      <c r="K19" s="335" t="s">
        <v>153</v>
      </c>
      <c r="L19" s="338" t="str">
        <f>IF(ISNUMBER(L15),IF(L15&lt;=28.5,135,IF(AND(L15&lt;=45,L15&gt;28.5),ROUND(135+(0-135)/(45-28.5)*(L15-28.5),0),"Mindestanforderung nicht erfüllt")),"")</f>
        <v/>
      </c>
      <c r="M19" s="339"/>
    </row>
    <row r="20" spans="1:14">
      <c r="A20" s="340"/>
      <c r="B20" s="340"/>
      <c r="C20" s="340"/>
    </row>
  </sheetData>
  <mergeCells count="9">
    <mergeCell ref="K3:M3"/>
    <mergeCell ref="K13:M13"/>
    <mergeCell ref="F1:H1"/>
    <mergeCell ref="K1:M1"/>
    <mergeCell ref="A3:C3"/>
    <mergeCell ref="A13:C13"/>
    <mergeCell ref="A1:C1"/>
    <mergeCell ref="F3:H3"/>
    <mergeCell ref="F13:H13"/>
  </mergeCells>
  <dataValidations count="1">
    <dataValidation allowBlank="1" showInputMessage="1" showErrorMessage="1" prompt="inklusiv aller internen Lasten auch Betriebsstrom" sqref="B6"/>
  </dataValidations>
  <pageMargins left="0.59055118110236238" right="0.59055118110236238" top="0.59055118110236238" bottom="0.59055118110236238" header="0.31496062992125984" footer="0.31496062992125984"/>
  <pageSetup paperSize="9" orientation="landscape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O149"/>
  <sheetViews>
    <sheetView workbookViewId="0">
      <selection activeCell="E3" sqref="E3"/>
    </sheetView>
  </sheetViews>
  <sheetFormatPr baseColWidth="10" defaultColWidth="11.42578125" defaultRowHeight="14.25"/>
  <cols>
    <col min="1" max="1" width="32.140625" style="292" customWidth="1"/>
    <col min="2" max="2" width="42.7109375" style="292" bestFit="1" customWidth="1"/>
    <col min="3" max="3" width="11.42578125" style="292"/>
    <col min="4" max="4" width="30.7109375" style="292" customWidth="1"/>
    <col min="5" max="7" width="11.42578125" style="292"/>
    <col min="8" max="8" width="5.7109375" style="292" customWidth="1"/>
    <col min="9" max="9" width="32.140625" style="292" customWidth="1"/>
    <col min="10" max="10" width="42.7109375" style="292" customWidth="1"/>
    <col min="11" max="11" width="11.42578125" style="292"/>
    <col min="12" max="12" width="30.7109375" style="292" customWidth="1"/>
    <col min="13" max="13" width="11.42578125" style="292"/>
    <col min="14" max="14" width="11.42578125" style="292" customWidth="1"/>
    <col min="15" max="16384" width="11.42578125" style="292"/>
  </cols>
  <sheetData>
    <row r="1" spans="1:15" ht="15">
      <c r="A1" s="341" t="s">
        <v>16</v>
      </c>
      <c r="B1" s="342"/>
    </row>
    <row r="2" spans="1:15" ht="15">
      <c r="A2" s="343" t="s">
        <v>169</v>
      </c>
      <c r="B2" s="344"/>
    </row>
    <row r="4" spans="1:15">
      <c r="A4" s="951" t="s">
        <v>16</v>
      </c>
      <c r="B4" s="952"/>
      <c r="C4" s="952"/>
      <c r="D4" s="952"/>
      <c r="E4" s="952"/>
      <c r="F4" s="952"/>
      <c r="G4" s="953"/>
      <c r="I4" s="957" t="s">
        <v>169</v>
      </c>
      <c r="J4" s="958"/>
      <c r="K4" s="958"/>
      <c r="L4" s="958"/>
      <c r="M4" s="958"/>
      <c r="N4" s="958"/>
      <c r="O4" s="959"/>
    </row>
    <row r="5" spans="1:15">
      <c r="A5" s="954"/>
      <c r="B5" s="955"/>
      <c r="C5" s="955"/>
      <c r="D5" s="955"/>
      <c r="E5" s="955"/>
      <c r="F5" s="955"/>
      <c r="G5" s="956"/>
      <c r="I5" s="960"/>
      <c r="J5" s="961"/>
      <c r="K5" s="961"/>
      <c r="L5" s="961"/>
      <c r="M5" s="961"/>
      <c r="N5" s="961"/>
      <c r="O5" s="962"/>
    </row>
    <row r="6" spans="1:15">
      <c r="A6" s="345"/>
      <c r="B6" s="345"/>
      <c r="C6" s="345"/>
      <c r="D6" s="345"/>
      <c r="E6" s="345"/>
      <c r="F6" s="345"/>
      <c r="G6" s="345"/>
      <c r="H6" s="346"/>
      <c r="I6" s="346"/>
      <c r="J6" s="346"/>
      <c r="K6" s="346"/>
      <c r="L6" s="346"/>
      <c r="M6" s="346"/>
      <c r="N6" s="346"/>
      <c r="O6" s="346"/>
    </row>
    <row r="7" spans="1:15">
      <c r="A7" s="345"/>
      <c r="B7" s="345"/>
      <c r="C7" s="345"/>
      <c r="D7" s="345"/>
      <c r="E7" s="345"/>
      <c r="F7" s="345"/>
      <c r="G7" s="345"/>
      <c r="H7" s="346"/>
      <c r="I7" s="346"/>
      <c r="J7" s="346"/>
      <c r="K7" s="346"/>
      <c r="L7" s="346"/>
      <c r="M7" s="346"/>
      <c r="N7" s="346"/>
      <c r="O7" s="346"/>
    </row>
    <row r="8" spans="1:15">
      <c r="A8" s="345"/>
      <c r="B8" s="345"/>
      <c r="C8" s="345"/>
      <c r="D8" s="345"/>
      <c r="E8" s="345"/>
      <c r="F8" s="345"/>
      <c r="G8" s="345"/>
      <c r="H8" s="346"/>
      <c r="I8" s="346"/>
      <c r="J8" s="346"/>
      <c r="K8" s="346"/>
      <c r="L8" s="346"/>
      <c r="M8" s="346"/>
      <c r="N8" s="346"/>
      <c r="O8" s="346"/>
    </row>
    <row r="9" spans="1:15">
      <c r="A9" s="345"/>
      <c r="B9" s="345"/>
      <c r="C9" s="345"/>
      <c r="D9" s="345"/>
      <c r="E9" s="345"/>
      <c r="F9" s="345"/>
      <c r="G9" s="345"/>
      <c r="H9" s="346"/>
      <c r="I9" s="346"/>
      <c r="J9" s="346"/>
      <c r="K9" s="346"/>
      <c r="L9" s="346"/>
      <c r="M9" s="346"/>
      <c r="N9" s="346"/>
      <c r="O9" s="346"/>
    </row>
    <row r="10" spans="1:15">
      <c r="A10" s="345"/>
      <c r="B10" s="345"/>
      <c r="C10" s="345"/>
      <c r="D10" s="345"/>
      <c r="E10" s="345"/>
      <c r="F10" s="345"/>
      <c r="G10" s="345"/>
      <c r="H10" s="346"/>
      <c r="I10" s="346"/>
      <c r="J10" s="346"/>
      <c r="K10" s="346"/>
      <c r="L10" s="346"/>
      <c r="M10" s="346"/>
      <c r="N10" s="346"/>
      <c r="O10" s="346"/>
    </row>
    <row r="11" spans="1:15">
      <c r="A11" s="345"/>
      <c r="B11" s="345"/>
      <c r="C11" s="345"/>
      <c r="D11" s="345"/>
      <c r="E11" s="345"/>
      <c r="F11" s="345"/>
      <c r="G11" s="345"/>
      <c r="H11" s="346"/>
      <c r="I11" s="346"/>
      <c r="J11" s="346"/>
      <c r="K11" s="346"/>
      <c r="L11" s="346"/>
      <c r="M11" s="346"/>
      <c r="N11" s="346"/>
      <c r="O11" s="346"/>
    </row>
    <row r="12" spans="1:15">
      <c r="A12" s="345"/>
      <c r="B12" s="345"/>
      <c r="C12" s="345"/>
      <c r="D12" s="345"/>
      <c r="E12" s="345"/>
      <c r="F12" s="345"/>
      <c r="G12" s="345"/>
      <c r="H12" s="346"/>
      <c r="I12" s="346"/>
      <c r="J12" s="346"/>
      <c r="K12" s="346"/>
      <c r="L12" s="346"/>
      <c r="M12" s="346"/>
      <c r="N12" s="346"/>
      <c r="O12" s="346"/>
    </row>
    <row r="13" spans="1:15">
      <c r="A13" s="345"/>
      <c r="B13" s="345"/>
      <c r="C13" s="345"/>
      <c r="D13" s="345"/>
      <c r="E13" s="345"/>
      <c r="F13" s="345"/>
      <c r="G13" s="345"/>
      <c r="H13" s="346"/>
      <c r="I13" s="346"/>
      <c r="J13" s="346"/>
      <c r="K13" s="346"/>
      <c r="L13" s="346"/>
      <c r="M13" s="346"/>
      <c r="N13" s="346"/>
      <c r="O13" s="346"/>
    </row>
    <row r="14" spans="1:15">
      <c r="A14" s="345"/>
      <c r="B14" s="345"/>
      <c r="C14" s="345"/>
      <c r="D14" s="345"/>
      <c r="E14" s="345"/>
      <c r="F14" s="345"/>
      <c r="G14" s="345"/>
      <c r="H14" s="346"/>
      <c r="I14" s="346"/>
      <c r="J14" s="346"/>
      <c r="K14" s="346"/>
      <c r="L14" s="346"/>
      <c r="M14" s="346"/>
      <c r="N14" s="346"/>
      <c r="O14" s="346"/>
    </row>
    <row r="15" spans="1:15">
      <c r="A15" s="345"/>
      <c r="B15" s="345"/>
      <c r="C15" s="345"/>
      <c r="D15" s="345"/>
      <c r="E15" s="345"/>
      <c r="F15" s="345"/>
      <c r="G15" s="345"/>
      <c r="H15" s="346"/>
      <c r="I15" s="346"/>
      <c r="J15" s="346"/>
      <c r="K15" s="346"/>
      <c r="L15" s="346"/>
      <c r="M15" s="346"/>
      <c r="N15" s="346"/>
      <c r="O15" s="346"/>
    </row>
    <row r="16" spans="1:15">
      <c r="A16" s="345"/>
      <c r="B16" s="345"/>
      <c r="C16" s="345"/>
      <c r="D16" s="345"/>
      <c r="E16" s="345"/>
      <c r="F16" s="345"/>
      <c r="G16" s="345"/>
      <c r="H16" s="346"/>
      <c r="I16" s="346"/>
      <c r="J16" s="346"/>
      <c r="K16" s="346"/>
      <c r="L16" s="346"/>
      <c r="M16" s="346"/>
      <c r="N16" s="346"/>
      <c r="O16" s="346"/>
    </row>
    <row r="17" spans="1:15">
      <c r="A17" s="345"/>
      <c r="B17" s="345"/>
      <c r="C17" s="345"/>
      <c r="D17" s="345"/>
      <c r="E17" s="345"/>
      <c r="F17" s="345"/>
      <c r="G17" s="345"/>
      <c r="H17" s="346"/>
      <c r="I17" s="346"/>
      <c r="J17" s="346"/>
      <c r="K17" s="346"/>
      <c r="L17" s="346"/>
      <c r="M17" s="346"/>
      <c r="N17" s="346"/>
      <c r="O17" s="346"/>
    </row>
    <row r="18" spans="1:15">
      <c r="A18" s="345"/>
      <c r="B18" s="345"/>
      <c r="C18" s="345"/>
      <c r="D18" s="345"/>
      <c r="E18" s="345"/>
      <c r="F18" s="345"/>
      <c r="G18" s="345"/>
      <c r="H18" s="346"/>
      <c r="I18" s="346"/>
      <c r="J18" s="346"/>
      <c r="K18" s="346"/>
      <c r="L18" s="346"/>
      <c r="M18" s="346"/>
      <c r="N18" s="346"/>
      <c r="O18" s="346"/>
    </row>
    <row r="19" spans="1:15">
      <c r="A19" s="345"/>
      <c r="B19" s="345"/>
      <c r="C19" s="345"/>
      <c r="D19" s="345"/>
      <c r="E19" s="345"/>
      <c r="F19" s="345"/>
      <c r="G19" s="345"/>
      <c r="H19" s="346"/>
      <c r="I19" s="346"/>
      <c r="J19" s="346"/>
      <c r="K19" s="346"/>
      <c r="L19" s="346"/>
      <c r="M19" s="346"/>
      <c r="N19" s="346"/>
      <c r="O19" s="346"/>
    </row>
    <row r="20" spans="1:15">
      <c r="A20" s="345"/>
      <c r="B20" s="345"/>
      <c r="C20" s="345"/>
      <c r="D20" s="345"/>
      <c r="E20" s="345"/>
      <c r="F20" s="345"/>
      <c r="G20" s="345"/>
      <c r="H20" s="346"/>
      <c r="I20" s="346"/>
      <c r="J20" s="346"/>
      <c r="K20" s="346"/>
      <c r="L20" s="346"/>
      <c r="M20" s="346"/>
      <c r="N20" s="346"/>
      <c r="O20" s="346"/>
    </row>
    <row r="21" spans="1:15">
      <c r="A21" s="345"/>
      <c r="B21" s="345"/>
      <c r="C21" s="345"/>
      <c r="D21" s="345"/>
      <c r="E21" s="345"/>
      <c r="F21" s="345"/>
      <c r="G21" s="345"/>
      <c r="H21" s="346"/>
      <c r="I21" s="346"/>
      <c r="J21" s="346"/>
      <c r="K21" s="346"/>
      <c r="L21" s="346"/>
      <c r="M21" s="346"/>
      <c r="N21" s="346"/>
      <c r="O21" s="346"/>
    </row>
    <row r="22" spans="1:15">
      <c r="A22" s="345"/>
      <c r="B22" s="345"/>
      <c r="C22" s="345"/>
      <c r="D22" s="345"/>
      <c r="E22" s="345"/>
      <c r="F22" s="345"/>
      <c r="G22" s="345"/>
      <c r="H22" s="346"/>
      <c r="I22" s="346"/>
      <c r="J22" s="346"/>
      <c r="K22" s="346"/>
      <c r="L22" s="346"/>
      <c r="M22" s="346"/>
      <c r="N22" s="346"/>
      <c r="O22" s="346"/>
    </row>
    <row r="23" spans="1:15">
      <c r="A23" s="345"/>
      <c r="B23" s="345"/>
      <c r="C23" s="345"/>
      <c r="D23" s="345"/>
      <c r="E23" s="345"/>
      <c r="F23" s="345"/>
      <c r="G23" s="345"/>
      <c r="H23" s="346"/>
      <c r="I23" s="346"/>
      <c r="J23" s="346"/>
      <c r="K23" s="346"/>
      <c r="L23" s="346"/>
      <c r="M23" s="346"/>
      <c r="N23" s="346"/>
      <c r="O23" s="346"/>
    </row>
    <row r="24" spans="1:15">
      <c r="A24" s="345"/>
      <c r="B24" s="345"/>
      <c r="C24" s="345"/>
      <c r="D24" s="345"/>
      <c r="E24" s="345"/>
      <c r="F24" s="345"/>
      <c r="G24" s="345"/>
      <c r="H24" s="346"/>
      <c r="I24" s="346"/>
      <c r="J24" s="346"/>
      <c r="K24" s="346"/>
      <c r="L24" s="346"/>
      <c r="M24" s="346"/>
      <c r="N24" s="346"/>
      <c r="O24" s="346"/>
    </row>
    <row r="25" spans="1:15">
      <c r="A25" s="345"/>
      <c r="B25" s="345"/>
      <c r="C25" s="345"/>
      <c r="D25" s="345"/>
      <c r="E25" s="345"/>
      <c r="F25" s="345"/>
      <c r="G25" s="345"/>
      <c r="H25" s="346"/>
      <c r="I25" s="346"/>
      <c r="J25" s="346"/>
      <c r="K25" s="346"/>
      <c r="L25" s="346"/>
      <c r="M25" s="346"/>
      <c r="N25" s="346"/>
      <c r="O25" s="346"/>
    </row>
    <row r="26" spans="1:15">
      <c r="A26" s="345"/>
      <c r="B26" s="345"/>
      <c r="C26" s="345"/>
      <c r="D26" s="345"/>
      <c r="E26" s="345"/>
      <c r="F26" s="345"/>
      <c r="G26" s="345"/>
      <c r="H26" s="346"/>
      <c r="I26" s="346"/>
      <c r="J26" s="346"/>
      <c r="K26" s="346"/>
      <c r="L26" s="346"/>
      <c r="M26" s="346"/>
      <c r="N26" s="346"/>
      <c r="O26" s="346"/>
    </row>
    <row r="27" spans="1:15">
      <c r="A27" s="345"/>
      <c r="B27" s="345"/>
      <c r="C27" s="345"/>
      <c r="D27" s="345"/>
      <c r="E27" s="345"/>
      <c r="F27" s="345"/>
      <c r="G27" s="345"/>
      <c r="H27" s="346"/>
      <c r="I27" s="346"/>
      <c r="J27" s="346"/>
      <c r="K27" s="346"/>
      <c r="L27" s="346"/>
      <c r="M27" s="346"/>
      <c r="N27" s="346"/>
      <c r="O27" s="346"/>
    </row>
    <row r="28" spans="1:15">
      <c r="A28" s="345"/>
      <c r="B28" s="345"/>
      <c r="C28" s="345"/>
      <c r="D28" s="345"/>
      <c r="E28" s="345"/>
      <c r="F28" s="345"/>
      <c r="G28" s="345"/>
      <c r="H28" s="346"/>
      <c r="I28" s="346"/>
      <c r="J28" s="346"/>
      <c r="K28" s="346"/>
      <c r="L28" s="346"/>
      <c r="M28" s="346"/>
      <c r="N28" s="346"/>
      <c r="O28" s="346"/>
    </row>
    <row r="29" spans="1:15">
      <c r="A29" s="345"/>
      <c r="B29" s="345"/>
      <c r="C29" s="345"/>
      <c r="D29" s="345"/>
      <c r="E29" s="345"/>
      <c r="F29" s="345"/>
      <c r="G29" s="345"/>
      <c r="H29" s="346"/>
      <c r="I29" s="346"/>
      <c r="J29" s="346"/>
      <c r="K29" s="346"/>
      <c r="L29" s="346"/>
      <c r="M29" s="346"/>
      <c r="N29" s="346"/>
      <c r="O29" s="346"/>
    </row>
    <row r="30" spans="1:15">
      <c r="A30" s="345"/>
      <c r="B30" s="345"/>
      <c r="C30" s="345"/>
      <c r="D30" s="345"/>
      <c r="E30" s="345"/>
      <c r="F30" s="345"/>
      <c r="G30" s="345"/>
      <c r="H30" s="346"/>
      <c r="I30" s="346"/>
      <c r="J30" s="346"/>
      <c r="K30" s="346"/>
      <c r="L30" s="346"/>
      <c r="M30" s="346"/>
      <c r="N30" s="346"/>
      <c r="O30" s="346"/>
    </row>
    <row r="31" spans="1:15">
      <c r="A31" s="345"/>
      <c r="B31" s="345"/>
      <c r="C31" s="345"/>
      <c r="D31" s="345"/>
      <c r="E31" s="345"/>
      <c r="F31" s="345"/>
      <c r="G31" s="345"/>
      <c r="H31" s="346"/>
      <c r="I31" s="346"/>
      <c r="J31" s="346"/>
      <c r="K31" s="346"/>
      <c r="L31" s="346"/>
      <c r="M31" s="346"/>
      <c r="N31" s="346"/>
      <c r="O31" s="346"/>
    </row>
    <row r="32" spans="1:15">
      <c r="A32" s="345"/>
      <c r="B32" s="345"/>
      <c r="C32" s="345"/>
      <c r="D32" s="345"/>
      <c r="E32" s="345"/>
      <c r="F32" s="345"/>
      <c r="G32" s="345"/>
      <c r="H32" s="346"/>
      <c r="I32" s="346"/>
      <c r="J32" s="346"/>
      <c r="K32" s="346"/>
      <c r="L32" s="346"/>
      <c r="M32" s="346"/>
      <c r="N32" s="346"/>
      <c r="O32" s="346"/>
    </row>
    <row r="33" spans="1:15">
      <c r="A33" s="345"/>
      <c r="B33" s="345"/>
      <c r="C33" s="345"/>
      <c r="D33" s="345"/>
      <c r="E33" s="345"/>
      <c r="F33" s="345"/>
      <c r="G33" s="345"/>
      <c r="H33" s="346"/>
      <c r="I33" s="346"/>
      <c r="J33" s="346"/>
      <c r="K33" s="346"/>
      <c r="L33" s="346"/>
      <c r="M33" s="346"/>
      <c r="N33" s="346"/>
      <c r="O33" s="346"/>
    </row>
    <row r="34" spans="1:15">
      <c r="A34" s="345"/>
      <c r="B34" s="345"/>
      <c r="C34" s="345"/>
      <c r="D34" s="345"/>
      <c r="E34" s="345"/>
      <c r="F34" s="345"/>
      <c r="G34" s="345"/>
      <c r="H34" s="346"/>
      <c r="I34" s="346"/>
      <c r="J34" s="346"/>
      <c r="K34" s="346"/>
      <c r="L34" s="346"/>
      <c r="M34" s="346"/>
      <c r="N34" s="346"/>
      <c r="O34" s="346"/>
    </row>
    <row r="35" spans="1:15">
      <c r="A35" s="345"/>
      <c r="B35" s="345"/>
      <c r="C35" s="345"/>
      <c r="D35" s="345"/>
      <c r="E35" s="345"/>
      <c r="F35" s="345"/>
      <c r="G35" s="345"/>
      <c r="H35" s="346"/>
      <c r="I35" s="346"/>
      <c r="J35" s="346"/>
      <c r="K35" s="346"/>
      <c r="L35" s="346"/>
      <c r="M35" s="346"/>
      <c r="N35" s="346"/>
      <c r="O35" s="346"/>
    </row>
    <row r="36" spans="1:15">
      <c r="A36" s="345"/>
      <c r="B36" s="345"/>
      <c r="C36" s="345"/>
      <c r="D36" s="345"/>
      <c r="E36" s="345"/>
      <c r="F36" s="345"/>
      <c r="G36" s="345"/>
      <c r="H36" s="346"/>
      <c r="I36" s="346"/>
      <c r="J36" s="346"/>
      <c r="K36" s="346"/>
      <c r="L36" s="346"/>
      <c r="M36" s="346"/>
      <c r="N36" s="346"/>
      <c r="O36" s="346"/>
    </row>
    <row r="37" spans="1:15">
      <c r="A37" s="345"/>
      <c r="B37" s="345"/>
      <c r="C37" s="345"/>
      <c r="D37" s="345"/>
      <c r="E37" s="345"/>
      <c r="F37" s="345"/>
      <c r="G37" s="345"/>
      <c r="H37" s="346"/>
      <c r="I37" s="346"/>
      <c r="J37" s="346"/>
      <c r="K37" s="346"/>
      <c r="L37" s="346"/>
      <c r="M37" s="346"/>
      <c r="N37" s="346"/>
      <c r="O37" s="346"/>
    </row>
    <row r="38" spans="1:15">
      <c r="A38" s="345"/>
      <c r="B38" s="345"/>
      <c r="C38" s="345"/>
      <c r="D38" s="345"/>
      <c r="E38" s="345"/>
      <c r="F38" s="345"/>
      <c r="G38" s="345"/>
      <c r="H38" s="346"/>
      <c r="I38" s="346"/>
      <c r="J38" s="346"/>
      <c r="K38" s="346"/>
      <c r="L38" s="346"/>
      <c r="M38" s="346"/>
      <c r="N38" s="346"/>
      <c r="O38" s="346"/>
    </row>
    <row r="39" spans="1:15">
      <c r="A39" s="345"/>
      <c r="B39" s="345"/>
      <c r="C39" s="345"/>
      <c r="D39" s="345"/>
      <c r="E39" s="345"/>
      <c r="F39" s="345"/>
      <c r="G39" s="345"/>
      <c r="H39" s="346"/>
      <c r="I39" s="346"/>
      <c r="J39" s="346"/>
      <c r="K39" s="346"/>
      <c r="L39" s="346"/>
      <c r="M39" s="346"/>
      <c r="N39" s="346"/>
      <c r="O39" s="346"/>
    </row>
    <row r="40" spans="1:15">
      <c r="A40" s="345"/>
      <c r="B40" s="345"/>
      <c r="C40" s="345"/>
      <c r="D40" s="345"/>
      <c r="E40" s="345"/>
      <c r="F40" s="345"/>
      <c r="G40" s="345"/>
      <c r="H40" s="346"/>
      <c r="I40" s="346"/>
      <c r="J40" s="346"/>
      <c r="K40" s="346"/>
      <c r="L40" s="346"/>
      <c r="M40" s="346"/>
      <c r="N40" s="346"/>
      <c r="O40" s="346"/>
    </row>
    <row r="41" spans="1:15">
      <c r="A41" s="345"/>
      <c r="B41" s="345"/>
      <c r="C41" s="345"/>
      <c r="D41" s="345"/>
      <c r="E41" s="345"/>
      <c r="F41" s="345"/>
      <c r="G41" s="345"/>
      <c r="H41" s="346"/>
      <c r="I41" s="346"/>
      <c r="J41" s="346"/>
      <c r="K41" s="346"/>
      <c r="L41" s="346"/>
      <c r="M41" s="346"/>
      <c r="N41" s="346"/>
      <c r="O41" s="346"/>
    </row>
    <row r="42" spans="1:15">
      <c r="A42" s="345"/>
      <c r="B42" s="345"/>
      <c r="C42" s="345"/>
      <c r="D42" s="345"/>
      <c r="E42" s="345"/>
      <c r="F42" s="345"/>
      <c r="G42" s="345"/>
      <c r="H42" s="346"/>
      <c r="I42" s="346"/>
      <c r="J42" s="346"/>
      <c r="K42" s="346"/>
      <c r="L42" s="346"/>
      <c r="M42" s="346"/>
      <c r="N42" s="346"/>
      <c r="O42" s="346"/>
    </row>
    <row r="43" spans="1:15">
      <c r="A43" s="345"/>
      <c r="B43" s="345"/>
      <c r="C43" s="345"/>
      <c r="D43" s="345"/>
      <c r="E43" s="345"/>
      <c r="F43" s="345"/>
      <c r="G43" s="345"/>
      <c r="H43" s="346"/>
      <c r="I43" s="346"/>
      <c r="J43" s="346"/>
      <c r="K43" s="346"/>
      <c r="L43" s="346"/>
      <c r="M43" s="346"/>
      <c r="N43" s="346"/>
      <c r="O43" s="346"/>
    </row>
    <row r="44" spans="1:15">
      <c r="A44" s="345"/>
      <c r="B44" s="345"/>
      <c r="C44" s="345"/>
      <c r="D44" s="345"/>
      <c r="E44" s="345"/>
      <c r="F44" s="345"/>
      <c r="G44" s="345"/>
      <c r="H44" s="346"/>
      <c r="I44" s="346"/>
      <c r="J44" s="346"/>
      <c r="K44" s="346"/>
      <c r="L44" s="346"/>
      <c r="M44" s="346"/>
      <c r="N44" s="346"/>
      <c r="O44" s="346"/>
    </row>
    <row r="45" spans="1:15">
      <c r="A45" s="345"/>
      <c r="B45" s="345"/>
      <c r="C45" s="345"/>
      <c r="D45" s="345"/>
      <c r="E45" s="345"/>
      <c r="F45" s="345"/>
      <c r="G45" s="345"/>
      <c r="H45" s="346"/>
      <c r="I45" s="346"/>
      <c r="J45" s="346"/>
      <c r="K45" s="346"/>
      <c r="L45" s="346"/>
      <c r="M45" s="346"/>
      <c r="N45" s="346"/>
      <c r="O45" s="346"/>
    </row>
    <row r="46" spans="1:15">
      <c r="A46" s="345"/>
      <c r="B46" s="345"/>
      <c r="C46" s="345"/>
      <c r="D46" s="345"/>
      <c r="E46" s="345"/>
      <c r="F46" s="345"/>
      <c r="G46" s="345"/>
      <c r="H46" s="346"/>
      <c r="I46" s="346"/>
      <c r="J46" s="346"/>
      <c r="K46" s="346"/>
      <c r="L46" s="346"/>
      <c r="M46" s="346"/>
      <c r="N46" s="346"/>
      <c r="O46" s="346"/>
    </row>
    <row r="47" spans="1:15">
      <c r="A47" s="345"/>
      <c r="B47" s="345"/>
      <c r="C47" s="345"/>
      <c r="D47" s="345"/>
      <c r="E47" s="345"/>
      <c r="F47" s="345"/>
      <c r="G47" s="345"/>
      <c r="H47" s="346"/>
      <c r="I47" s="346"/>
      <c r="J47" s="346"/>
      <c r="K47" s="346"/>
      <c r="L47" s="346"/>
      <c r="M47" s="346"/>
      <c r="N47" s="346"/>
      <c r="O47" s="346"/>
    </row>
    <row r="48" spans="1:15">
      <c r="A48" s="345"/>
      <c r="B48" s="345"/>
      <c r="C48" s="345"/>
      <c r="D48" s="345"/>
      <c r="E48" s="345"/>
      <c r="F48" s="345"/>
      <c r="G48" s="345"/>
      <c r="H48" s="346"/>
      <c r="I48" s="346"/>
      <c r="J48" s="346"/>
      <c r="K48" s="346"/>
      <c r="L48" s="346"/>
      <c r="M48" s="346"/>
      <c r="N48" s="346"/>
      <c r="O48" s="346"/>
    </row>
    <row r="49" spans="1:15">
      <c r="A49" s="345"/>
      <c r="B49" s="345"/>
      <c r="C49" s="345"/>
      <c r="D49" s="345"/>
      <c r="E49" s="345"/>
      <c r="F49" s="345"/>
      <c r="G49" s="345"/>
      <c r="H49" s="346"/>
      <c r="I49" s="346"/>
      <c r="J49" s="346"/>
      <c r="K49" s="346"/>
      <c r="L49" s="346"/>
      <c r="M49" s="346"/>
      <c r="N49" s="346"/>
      <c r="O49" s="346"/>
    </row>
    <row r="50" spans="1:15">
      <c r="A50" s="345"/>
      <c r="B50" s="345"/>
      <c r="C50" s="345"/>
      <c r="D50" s="345"/>
      <c r="E50" s="345"/>
      <c r="F50" s="345"/>
      <c r="G50" s="345"/>
      <c r="H50" s="346"/>
      <c r="I50" s="346"/>
      <c r="J50" s="346"/>
      <c r="K50" s="346"/>
      <c r="L50" s="346"/>
      <c r="M50" s="346"/>
      <c r="N50" s="346"/>
      <c r="O50" s="346"/>
    </row>
    <row r="51" spans="1:15">
      <c r="A51" s="345"/>
      <c r="B51" s="345"/>
      <c r="C51" s="345"/>
      <c r="D51" s="345"/>
      <c r="E51" s="345"/>
      <c r="F51" s="345"/>
      <c r="G51" s="345"/>
      <c r="H51" s="346"/>
      <c r="I51" s="346"/>
      <c r="J51" s="346"/>
      <c r="K51" s="346"/>
      <c r="L51" s="346"/>
      <c r="M51" s="346"/>
      <c r="N51" s="346"/>
      <c r="O51" s="346"/>
    </row>
    <row r="52" spans="1:15">
      <c r="A52" s="345"/>
      <c r="B52" s="345"/>
      <c r="C52" s="345"/>
      <c r="D52" s="345"/>
      <c r="E52" s="345"/>
      <c r="F52" s="345"/>
      <c r="G52" s="345"/>
      <c r="H52" s="346"/>
      <c r="I52" s="346"/>
      <c r="J52" s="346"/>
      <c r="K52" s="346"/>
      <c r="L52" s="346"/>
      <c r="M52" s="346"/>
      <c r="N52" s="346"/>
      <c r="O52" s="346"/>
    </row>
    <row r="53" spans="1:15">
      <c r="A53" s="345"/>
      <c r="B53" s="345"/>
      <c r="C53" s="345"/>
      <c r="D53" s="345"/>
      <c r="E53" s="345"/>
      <c r="F53" s="345"/>
      <c r="G53" s="345"/>
      <c r="H53" s="346"/>
      <c r="I53" s="346"/>
      <c r="J53" s="346"/>
      <c r="K53" s="346"/>
      <c r="L53" s="346"/>
      <c r="M53" s="346"/>
      <c r="N53" s="346"/>
      <c r="O53" s="346"/>
    </row>
    <row r="54" spans="1:15">
      <c r="A54" s="345"/>
      <c r="B54" s="345"/>
      <c r="C54" s="345"/>
      <c r="D54" s="345"/>
      <c r="E54" s="345"/>
      <c r="F54" s="345"/>
      <c r="G54" s="345"/>
      <c r="H54" s="346"/>
      <c r="I54" s="346"/>
      <c r="J54" s="346"/>
      <c r="K54" s="346"/>
      <c r="L54" s="346"/>
      <c r="M54" s="346"/>
      <c r="N54" s="346"/>
      <c r="O54" s="346"/>
    </row>
    <row r="55" spans="1:15">
      <c r="A55" s="345"/>
      <c r="B55" s="345"/>
      <c r="C55" s="345"/>
      <c r="D55" s="345"/>
      <c r="E55" s="345"/>
      <c r="F55" s="345"/>
      <c r="G55" s="345"/>
      <c r="H55" s="346"/>
      <c r="I55" s="346"/>
      <c r="J55" s="346"/>
      <c r="K55" s="346"/>
      <c r="L55" s="346"/>
      <c r="M55" s="346"/>
      <c r="N55" s="346"/>
      <c r="O55" s="346"/>
    </row>
    <row r="56" spans="1:15">
      <c r="A56" s="345"/>
      <c r="B56" s="345"/>
      <c r="C56" s="345"/>
      <c r="D56" s="345"/>
      <c r="E56" s="345"/>
      <c r="F56" s="345"/>
      <c r="G56" s="345"/>
      <c r="H56" s="346"/>
      <c r="I56" s="346"/>
      <c r="J56" s="346"/>
      <c r="K56" s="346"/>
      <c r="L56" s="346"/>
      <c r="M56" s="346"/>
      <c r="N56" s="346"/>
      <c r="O56" s="346"/>
    </row>
    <row r="57" spans="1:15" ht="18.75">
      <c r="A57" s="347" t="s">
        <v>170</v>
      </c>
      <c r="B57" s="342" t="s">
        <v>23</v>
      </c>
      <c r="C57" s="348" t="s">
        <v>171</v>
      </c>
      <c r="D57" s="349" t="s">
        <v>23</v>
      </c>
      <c r="E57" s="347" t="s">
        <v>172</v>
      </c>
      <c r="F57" s="342" t="s">
        <v>23</v>
      </c>
      <c r="G57" s="345"/>
      <c r="H57" s="346"/>
      <c r="I57" s="350" t="s">
        <v>170</v>
      </c>
      <c r="J57" s="351" t="s">
        <v>23</v>
      </c>
      <c r="K57" s="350" t="s">
        <v>171</v>
      </c>
      <c r="L57" s="352" t="s">
        <v>23</v>
      </c>
      <c r="M57" s="350" t="s">
        <v>173</v>
      </c>
      <c r="N57" s="351" t="s">
        <v>23</v>
      </c>
      <c r="O57" s="346"/>
    </row>
    <row r="58" spans="1:15">
      <c r="A58" s="353">
        <v>0</v>
      </c>
      <c r="B58" s="354">
        <v>125</v>
      </c>
      <c r="C58" s="355">
        <v>0</v>
      </c>
      <c r="D58" s="356">
        <v>135</v>
      </c>
      <c r="E58" s="353">
        <v>0</v>
      </c>
      <c r="F58" s="357">
        <v>135</v>
      </c>
      <c r="G58" s="345"/>
      <c r="H58" s="346"/>
      <c r="I58" s="358">
        <v>1</v>
      </c>
      <c r="J58" s="359">
        <v>125</v>
      </c>
      <c r="K58" s="358">
        <v>0</v>
      </c>
      <c r="L58" s="360">
        <v>135</v>
      </c>
      <c r="M58" s="361">
        <v>0</v>
      </c>
      <c r="N58" s="359">
        <v>135</v>
      </c>
      <c r="O58" s="346"/>
    </row>
    <row r="59" spans="1:15">
      <c r="A59" s="353">
        <v>1</v>
      </c>
      <c r="B59" s="354">
        <v>125</v>
      </c>
      <c r="C59" s="355">
        <v>5</v>
      </c>
      <c r="D59" s="356">
        <v>135</v>
      </c>
      <c r="E59" s="353">
        <v>1</v>
      </c>
      <c r="F59" s="357">
        <v>135</v>
      </c>
      <c r="G59" s="345"/>
      <c r="H59" s="346"/>
      <c r="I59" s="358">
        <v>2</v>
      </c>
      <c r="J59" s="359">
        <v>125</v>
      </c>
      <c r="K59" s="358">
        <v>5</v>
      </c>
      <c r="L59" s="360">
        <v>135</v>
      </c>
      <c r="M59" s="361">
        <v>0.5</v>
      </c>
      <c r="N59" s="359">
        <v>135</v>
      </c>
      <c r="O59" s="346"/>
    </row>
    <row r="60" spans="1:15">
      <c r="A60" s="353">
        <v>2</v>
      </c>
      <c r="B60" s="354">
        <v>125</v>
      </c>
      <c r="C60" s="355">
        <v>10</v>
      </c>
      <c r="D60" s="356">
        <v>135</v>
      </c>
      <c r="E60" s="353">
        <v>2</v>
      </c>
      <c r="F60" s="357">
        <v>135</v>
      </c>
      <c r="G60" s="345"/>
      <c r="H60" s="346"/>
      <c r="I60" s="358">
        <v>3</v>
      </c>
      <c r="J60" s="359">
        <v>125</v>
      </c>
      <c r="K60" s="358">
        <v>10</v>
      </c>
      <c r="L60" s="360">
        <v>135</v>
      </c>
      <c r="M60" s="361">
        <v>1</v>
      </c>
      <c r="N60" s="359">
        <v>135</v>
      </c>
      <c r="O60" s="346"/>
    </row>
    <row r="61" spans="1:15">
      <c r="A61" s="353">
        <v>3</v>
      </c>
      <c r="B61" s="354">
        <v>125</v>
      </c>
      <c r="C61" s="355">
        <v>15</v>
      </c>
      <c r="D61" s="356">
        <v>135</v>
      </c>
      <c r="E61" s="353">
        <v>3</v>
      </c>
      <c r="F61" s="357">
        <v>135</v>
      </c>
      <c r="G61" s="345"/>
      <c r="H61" s="346"/>
      <c r="I61" s="358">
        <v>4</v>
      </c>
      <c r="J61" s="359">
        <v>125</v>
      </c>
      <c r="K61" s="358">
        <v>15</v>
      </c>
      <c r="L61" s="360">
        <v>135</v>
      </c>
      <c r="M61" s="361">
        <v>1.5</v>
      </c>
      <c r="N61" s="359">
        <v>135</v>
      </c>
      <c r="O61" s="346"/>
    </row>
    <row r="62" spans="1:15">
      <c r="A62" s="353">
        <v>4</v>
      </c>
      <c r="B62" s="354">
        <v>125</v>
      </c>
      <c r="C62" s="355">
        <v>20</v>
      </c>
      <c r="D62" s="356">
        <v>135</v>
      </c>
      <c r="E62" s="353">
        <v>4</v>
      </c>
      <c r="F62" s="357">
        <v>135</v>
      </c>
      <c r="G62" s="345"/>
      <c r="H62" s="346"/>
      <c r="I62" s="358">
        <v>5</v>
      </c>
      <c r="J62" s="359">
        <v>125</v>
      </c>
      <c r="K62" s="358">
        <v>20</v>
      </c>
      <c r="L62" s="360">
        <v>135</v>
      </c>
      <c r="M62" s="361">
        <v>2</v>
      </c>
      <c r="N62" s="359">
        <v>135</v>
      </c>
      <c r="O62" s="346"/>
    </row>
    <row r="63" spans="1:15">
      <c r="A63" s="353">
        <v>5</v>
      </c>
      <c r="B63" s="354">
        <v>125</v>
      </c>
      <c r="C63" s="355">
        <v>25</v>
      </c>
      <c r="D63" s="356">
        <v>135</v>
      </c>
      <c r="E63" s="353">
        <v>5</v>
      </c>
      <c r="F63" s="357">
        <v>135</v>
      </c>
      <c r="G63" s="345"/>
      <c r="H63" s="346"/>
      <c r="I63" s="358">
        <v>6</v>
      </c>
      <c r="J63" s="359">
        <v>125</v>
      </c>
      <c r="K63" s="358">
        <v>25</v>
      </c>
      <c r="L63" s="360">
        <v>135</v>
      </c>
      <c r="M63" s="361">
        <v>2.5</v>
      </c>
      <c r="N63" s="359">
        <v>135</v>
      </c>
      <c r="O63" s="346"/>
    </row>
    <row r="64" spans="1:15">
      <c r="A64" s="353">
        <v>6</v>
      </c>
      <c r="B64" s="354">
        <v>125</v>
      </c>
      <c r="C64" s="355">
        <v>30</v>
      </c>
      <c r="D64" s="356">
        <v>135</v>
      </c>
      <c r="E64" s="353">
        <v>6</v>
      </c>
      <c r="F64" s="357">
        <v>135</v>
      </c>
      <c r="G64" s="345"/>
      <c r="H64" s="346"/>
      <c r="I64" s="358">
        <v>7</v>
      </c>
      <c r="J64" s="359">
        <v>125</v>
      </c>
      <c r="K64" s="358">
        <v>30</v>
      </c>
      <c r="L64" s="360">
        <v>135</v>
      </c>
      <c r="M64" s="361">
        <v>3</v>
      </c>
      <c r="N64" s="359">
        <v>135</v>
      </c>
      <c r="O64" s="346"/>
    </row>
    <row r="65" spans="1:15">
      <c r="A65" s="353">
        <v>7</v>
      </c>
      <c r="B65" s="354">
        <v>125</v>
      </c>
      <c r="C65" s="355">
        <v>35</v>
      </c>
      <c r="D65" s="356">
        <v>135</v>
      </c>
      <c r="E65" s="353">
        <v>7</v>
      </c>
      <c r="F65" s="357">
        <v>135</v>
      </c>
      <c r="G65" s="345"/>
      <c r="H65" s="346"/>
      <c r="I65" s="358">
        <v>8</v>
      </c>
      <c r="J65" s="359">
        <v>125</v>
      </c>
      <c r="K65" s="358">
        <v>35</v>
      </c>
      <c r="L65" s="360">
        <v>135</v>
      </c>
      <c r="M65" s="361">
        <v>3.5</v>
      </c>
      <c r="N65" s="359">
        <v>135</v>
      </c>
      <c r="O65" s="346"/>
    </row>
    <row r="66" spans="1:15">
      <c r="A66" s="353">
        <v>8</v>
      </c>
      <c r="B66" s="354">
        <v>125</v>
      </c>
      <c r="C66" s="355">
        <v>40</v>
      </c>
      <c r="D66" s="356">
        <v>135</v>
      </c>
      <c r="E66" s="353">
        <v>8</v>
      </c>
      <c r="F66" s="357">
        <v>135</v>
      </c>
      <c r="G66" s="345"/>
      <c r="H66" s="346"/>
      <c r="I66" s="358">
        <v>9</v>
      </c>
      <c r="J66" s="359">
        <v>125</v>
      </c>
      <c r="K66" s="358">
        <v>40</v>
      </c>
      <c r="L66" s="360">
        <v>135</v>
      </c>
      <c r="M66" s="361">
        <v>4</v>
      </c>
      <c r="N66" s="359">
        <v>135</v>
      </c>
      <c r="O66" s="346"/>
    </row>
    <row r="67" spans="1:15">
      <c r="A67" s="353">
        <v>9</v>
      </c>
      <c r="B67" s="354">
        <v>125</v>
      </c>
      <c r="C67" s="355">
        <v>45</v>
      </c>
      <c r="D67" s="356">
        <v>135</v>
      </c>
      <c r="E67" s="353">
        <v>9</v>
      </c>
      <c r="F67" s="357">
        <v>135</v>
      </c>
      <c r="G67" s="345"/>
      <c r="H67" s="346"/>
      <c r="I67" s="358">
        <v>10</v>
      </c>
      <c r="J67" s="359">
        <v>125</v>
      </c>
      <c r="K67" s="358">
        <v>45</v>
      </c>
      <c r="L67" s="360">
        <v>135</v>
      </c>
      <c r="M67" s="361">
        <v>4.5</v>
      </c>
      <c r="N67" s="359">
        <v>135</v>
      </c>
      <c r="O67" s="346"/>
    </row>
    <row r="68" spans="1:15">
      <c r="A68" s="353">
        <v>10</v>
      </c>
      <c r="B68" s="354">
        <v>125</v>
      </c>
      <c r="C68" s="355">
        <v>50</v>
      </c>
      <c r="D68" s="356">
        <v>135</v>
      </c>
      <c r="E68" s="353">
        <v>10</v>
      </c>
      <c r="F68" s="357">
        <v>135</v>
      </c>
      <c r="G68" s="345"/>
      <c r="H68" s="346"/>
      <c r="I68" s="358">
        <v>11</v>
      </c>
      <c r="J68" s="359">
        <v>125</v>
      </c>
      <c r="K68" s="358">
        <v>50</v>
      </c>
      <c r="L68" s="360">
        <v>135</v>
      </c>
      <c r="M68" s="361">
        <v>5</v>
      </c>
      <c r="N68" s="359">
        <v>135</v>
      </c>
      <c r="O68" s="346"/>
    </row>
    <row r="69" spans="1:15">
      <c r="A69" s="353">
        <v>11</v>
      </c>
      <c r="B69" s="354">
        <v>125</v>
      </c>
      <c r="C69" s="355">
        <v>55</v>
      </c>
      <c r="D69" s="356">
        <v>135</v>
      </c>
      <c r="E69" s="353">
        <v>11</v>
      </c>
      <c r="F69" s="357">
        <v>135</v>
      </c>
      <c r="G69" s="345"/>
      <c r="H69" s="346"/>
      <c r="I69" s="358">
        <v>12</v>
      </c>
      <c r="J69" s="359">
        <v>125</v>
      </c>
      <c r="K69" s="358">
        <v>55</v>
      </c>
      <c r="L69" s="360">
        <v>135</v>
      </c>
      <c r="M69" s="361">
        <v>5.5</v>
      </c>
      <c r="N69" s="359">
        <v>135</v>
      </c>
      <c r="O69" s="346"/>
    </row>
    <row r="70" spans="1:15">
      <c r="A70" s="353">
        <v>12</v>
      </c>
      <c r="B70" s="354">
        <v>125</v>
      </c>
      <c r="C70" s="355">
        <v>60</v>
      </c>
      <c r="D70" s="356">
        <v>135</v>
      </c>
      <c r="E70" s="353">
        <v>12</v>
      </c>
      <c r="F70" s="357">
        <v>135</v>
      </c>
      <c r="G70" s="345"/>
      <c r="H70" s="346"/>
      <c r="I70" s="358">
        <v>13</v>
      </c>
      <c r="J70" s="359">
        <v>125</v>
      </c>
      <c r="K70" s="358">
        <v>60</v>
      </c>
      <c r="L70" s="360">
        <v>135</v>
      </c>
      <c r="M70" s="361">
        <v>6</v>
      </c>
      <c r="N70" s="359">
        <v>135</v>
      </c>
      <c r="O70" s="346"/>
    </row>
    <row r="71" spans="1:15">
      <c r="A71" s="353">
        <v>13</v>
      </c>
      <c r="B71" s="354">
        <v>125</v>
      </c>
      <c r="C71" s="355">
        <v>65</v>
      </c>
      <c r="D71" s="356">
        <f t="shared" ref="D71:D94" si="0">135+(0-135)/(180-60)*(C71-60)</f>
        <v>129.375</v>
      </c>
      <c r="E71" s="353">
        <v>13</v>
      </c>
      <c r="F71" s="357">
        <v>135</v>
      </c>
      <c r="G71" s="345"/>
      <c r="H71" s="346"/>
      <c r="I71" s="358">
        <v>14</v>
      </c>
      <c r="J71" s="359">
        <v>125</v>
      </c>
      <c r="K71" s="358">
        <v>65</v>
      </c>
      <c r="L71" s="362">
        <f t="shared" ref="L71:L98" si="1">135+(0-135)/(200-60)*(K71-60)</f>
        <v>130.17857142857142</v>
      </c>
      <c r="M71" s="361">
        <v>6.5</v>
      </c>
      <c r="N71" s="359">
        <v>135</v>
      </c>
      <c r="O71" s="346"/>
    </row>
    <row r="72" spans="1:15">
      <c r="A72" s="353">
        <v>14</v>
      </c>
      <c r="B72" s="354">
        <v>125</v>
      </c>
      <c r="C72" s="355">
        <v>70</v>
      </c>
      <c r="D72" s="356">
        <f t="shared" si="0"/>
        <v>123.75</v>
      </c>
      <c r="E72" s="353">
        <v>14</v>
      </c>
      <c r="F72" s="357">
        <v>135</v>
      </c>
      <c r="G72" s="345"/>
      <c r="H72" s="346"/>
      <c r="I72" s="358">
        <v>15</v>
      </c>
      <c r="J72" s="359">
        <v>125</v>
      </c>
      <c r="K72" s="358">
        <v>70</v>
      </c>
      <c r="L72" s="362">
        <f t="shared" si="1"/>
        <v>125.35714285714286</v>
      </c>
      <c r="M72" s="361">
        <v>7</v>
      </c>
      <c r="N72" s="359">
        <v>135</v>
      </c>
      <c r="O72" s="346"/>
    </row>
    <row r="73" spans="1:15">
      <c r="A73" s="353">
        <v>15</v>
      </c>
      <c r="B73" s="354">
        <v>125</v>
      </c>
      <c r="C73" s="355">
        <v>75</v>
      </c>
      <c r="D73" s="356">
        <f t="shared" si="0"/>
        <v>118.125</v>
      </c>
      <c r="E73" s="353">
        <v>15</v>
      </c>
      <c r="F73" s="357">
        <v>135</v>
      </c>
      <c r="G73" s="345"/>
      <c r="H73" s="346"/>
      <c r="I73" s="358">
        <v>16</v>
      </c>
      <c r="J73" s="359">
        <v>125</v>
      </c>
      <c r="K73" s="358">
        <v>75</v>
      </c>
      <c r="L73" s="362">
        <f t="shared" si="1"/>
        <v>120.53571428571428</v>
      </c>
      <c r="M73" s="361">
        <v>7.5</v>
      </c>
      <c r="N73" s="359">
        <v>135</v>
      </c>
      <c r="O73" s="346"/>
    </row>
    <row r="74" spans="1:15">
      <c r="A74" s="353">
        <v>16</v>
      </c>
      <c r="B74" s="354">
        <f t="shared" ref="B74:B103" si="2">125+(0-125)/(45-15)*(A74-15)</f>
        <v>120.83333333333333</v>
      </c>
      <c r="C74" s="355">
        <v>80</v>
      </c>
      <c r="D74" s="356">
        <f t="shared" si="0"/>
        <v>112.5</v>
      </c>
      <c r="E74" s="353">
        <v>16</v>
      </c>
      <c r="F74" s="357">
        <v>135</v>
      </c>
      <c r="G74" s="345"/>
      <c r="H74" s="346"/>
      <c r="I74" s="358">
        <v>17</v>
      </c>
      <c r="J74" s="359">
        <v>125</v>
      </c>
      <c r="K74" s="358">
        <v>80</v>
      </c>
      <c r="L74" s="362">
        <f t="shared" si="1"/>
        <v>115.71428571428572</v>
      </c>
      <c r="M74" s="361">
        <v>8</v>
      </c>
      <c r="N74" s="359">
        <v>135</v>
      </c>
      <c r="O74" s="346"/>
    </row>
    <row r="75" spans="1:15">
      <c r="A75" s="353">
        <v>17</v>
      </c>
      <c r="B75" s="354">
        <f t="shared" si="2"/>
        <v>116.66666666666667</v>
      </c>
      <c r="C75" s="355">
        <v>85</v>
      </c>
      <c r="D75" s="356">
        <f t="shared" si="0"/>
        <v>106.875</v>
      </c>
      <c r="E75" s="353">
        <v>17</v>
      </c>
      <c r="F75" s="357">
        <v>135</v>
      </c>
      <c r="G75" s="345"/>
      <c r="H75" s="346"/>
      <c r="I75" s="358">
        <v>18</v>
      </c>
      <c r="J75" s="359">
        <v>125</v>
      </c>
      <c r="K75" s="358">
        <v>85</v>
      </c>
      <c r="L75" s="362">
        <f t="shared" si="1"/>
        <v>110.89285714285714</v>
      </c>
      <c r="M75" s="361">
        <v>8.5</v>
      </c>
      <c r="N75" s="359">
        <v>135</v>
      </c>
      <c r="O75" s="346"/>
    </row>
    <row r="76" spans="1:15">
      <c r="A76" s="353">
        <v>18</v>
      </c>
      <c r="B76" s="354">
        <f t="shared" si="2"/>
        <v>112.5</v>
      </c>
      <c r="C76" s="355">
        <v>90</v>
      </c>
      <c r="D76" s="356">
        <f t="shared" si="0"/>
        <v>101.25</v>
      </c>
      <c r="E76" s="353">
        <v>18</v>
      </c>
      <c r="F76" s="357">
        <v>135</v>
      </c>
      <c r="G76" s="345"/>
      <c r="H76" s="346"/>
      <c r="I76" s="358">
        <v>19</v>
      </c>
      <c r="J76" s="359">
        <v>125</v>
      </c>
      <c r="K76" s="358">
        <v>90</v>
      </c>
      <c r="L76" s="362">
        <f t="shared" si="1"/>
        <v>106.07142857142857</v>
      </c>
      <c r="M76" s="361">
        <v>9</v>
      </c>
      <c r="N76" s="359">
        <v>135</v>
      </c>
      <c r="O76" s="346"/>
    </row>
    <row r="77" spans="1:15">
      <c r="A77" s="353">
        <v>19</v>
      </c>
      <c r="B77" s="354">
        <f t="shared" si="2"/>
        <v>108.33333333333333</v>
      </c>
      <c r="C77" s="355">
        <v>95</v>
      </c>
      <c r="D77" s="356">
        <f t="shared" si="0"/>
        <v>95.625</v>
      </c>
      <c r="E77" s="353">
        <v>19</v>
      </c>
      <c r="F77" s="357">
        <v>135</v>
      </c>
      <c r="G77" s="345"/>
      <c r="H77" s="346"/>
      <c r="I77" s="358">
        <v>20</v>
      </c>
      <c r="J77" s="359">
        <v>125</v>
      </c>
      <c r="K77" s="358">
        <v>95</v>
      </c>
      <c r="L77" s="362">
        <f t="shared" si="1"/>
        <v>101.25</v>
      </c>
      <c r="M77" s="361">
        <v>9.5</v>
      </c>
      <c r="N77" s="359">
        <v>135</v>
      </c>
      <c r="O77" s="346"/>
    </row>
    <row r="78" spans="1:15">
      <c r="A78" s="353">
        <v>20</v>
      </c>
      <c r="B78" s="354">
        <f t="shared" si="2"/>
        <v>104.16666666666666</v>
      </c>
      <c r="C78" s="355">
        <v>100</v>
      </c>
      <c r="D78" s="356">
        <f t="shared" si="0"/>
        <v>90</v>
      </c>
      <c r="E78" s="353">
        <v>20</v>
      </c>
      <c r="F78" s="357">
        <v>135</v>
      </c>
      <c r="G78" s="345"/>
      <c r="H78" s="346"/>
      <c r="I78" s="358">
        <v>21</v>
      </c>
      <c r="J78" s="359">
        <v>125</v>
      </c>
      <c r="K78" s="358">
        <v>100</v>
      </c>
      <c r="L78" s="362">
        <f t="shared" si="1"/>
        <v>96.428571428571431</v>
      </c>
      <c r="M78" s="361">
        <v>10</v>
      </c>
      <c r="N78" s="359">
        <v>135</v>
      </c>
      <c r="O78" s="346"/>
    </row>
    <row r="79" spans="1:15">
      <c r="A79" s="353">
        <v>21</v>
      </c>
      <c r="B79" s="354">
        <f t="shared" si="2"/>
        <v>100</v>
      </c>
      <c r="C79" s="355">
        <v>105</v>
      </c>
      <c r="D79" s="356">
        <f t="shared" si="0"/>
        <v>84.375</v>
      </c>
      <c r="E79" s="353">
        <v>21</v>
      </c>
      <c r="F79" s="357">
        <v>135</v>
      </c>
      <c r="G79" s="345"/>
      <c r="H79" s="346"/>
      <c r="I79" s="358">
        <v>22</v>
      </c>
      <c r="J79" s="359">
        <v>125</v>
      </c>
      <c r="K79" s="358">
        <v>105</v>
      </c>
      <c r="L79" s="362">
        <f t="shared" si="1"/>
        <v>91.607142857142861</v>
      </c>
      <c r="M79" s="361">
        <v>10.5</v>
      </c>
      <c r="N79" s="359">
        <v>135</v>
      </c>
      <c r="O79" s="346"/>
    </row>
    <row r="80" spans="1:15">
      <c r="A80" s="353">
        <v>22</v>
      </c>
      <c r="B80" s="354">
        <f t="shared" si="2"/>
        <v>95.833333333333329</v>
      </c>
      <c r="C80" s="355">
        <v>110</v>
      </c>
      <c r="D80" s="356">
        <f t="shared" si="0"/>
        <v>78.75</v>
      </c>
      <c r="E80" s="353">
        <v>22</v>
      </c>
      <c r="F80" s="357">
        <v>135</v>
      </c>
      <c r="G80" s="345"/>
      <c r="H80" s="346"/>
      <c r="I80" s="358">
        <v>23</v>
      </c>
      <c r="J80" s="359">
        <v>125</v>
      </c>
      <c r="K80" s="358">
        <v>110</v>
      </c>
      <c r="L80" s="362">
        <f t="shared" si="1"/>
        <v>86.785714285714278</v>
      </c>
      <c r="M80" s="361">
        <v>11</v>
      </c>
      <c r="N80" s="359">
        <v>135</v>
      </c>
      <c r="O80" s="346"/>
    </row>
    <row r="81" spans="1:15">
      <c r="A81" s="353">
        <v>23</v>
      </c>
      <c r="B81" s="354">
        <f t="shared" si="2"/>
        <v>91.666666666666657</v>
      </c>
      <c r="C81" s="355">
        <v>115</v>
      </c>
      <c r="D81" s="356">
        <f t="shared" si="0"/>
        <v>73.125</v>
      </c>
      <c r="E81" s="353">
        <v>23</v>
      </c>
      <c r="F81" s="357">
        <v>135</v>
      </c>
      <c r="G81" s="345"/>
      <c r="H81" s="346"/>
      <c r="I81" s="358">
        <v>24</v>
      </c>
      <c r="J81" s="359">
        <v>125</v>
      </c>
      <c r="K81" s="358">
        <v>115</v>
      </c>
      <c r="L81" s="362">
        <f t="shared" si="1"/>
        <v>81.964285714285722</v>
      </c>
      <c r="M81" s="361">
        <v>11.5</v>
      </c>
      <c r="N81" s="359">
        <v>135</v>
      </c>
      <c r="O81" s="346"/>
    </row>
    <row r="82" spans="1:15">
      <c r="A82" s="353">
        <v>24</v>
      </c>
      <c r="B82" s="354">
        <f t="shared" si="2"/>
        <v>87.5</v>
      </c>
      <c r="C82" s="355">
        <v>120</v>
      </c>
      <c r="D82" s="356">
        <f t="shared" si="0"/>
        <v>67.5</v>
      </c>
      <c r="E82" s="353">
        <v>24</v>
      </c>
      <c r="F82" s="357">
        <v>135</v>
      </c>
      <c r="G82" s="345"/>
      <c r="H82" s="346"/>
      <c r="I82" s="358">
        <v>25</v>
      </c>
      <c r="J82" s="359">
        <v>125</v>
      </c>
      <c r="K82" s="358">
        <v>120</v>
      </c>
      <c r="L82" s="362">
        <f t="shared" si="1"/>
        <v>77.142857142857139</v>
      </c>
      <c r="M82" s="361">
        <v>12</v>
      </c>
      <c r="N82" s="359">
        <v>135</v>
      </c>
      <c r="O82" s="346"/>
    </row>
    <row r="83" spans="1:15">
      <c r="A83" s="353">
        <v>25</v>
      </c>
      <c r="B83" s="354">
        <f t="shared" si="2"/>
        <v>83.333333333333329</v>
      </c>
      <c r="C83" s="355">
        <v>125</v>
      </c>
      <c r="D83" s="356">
        <f t="shared" si="0"/>
        <v>61.875</v>
      </c>
      <c r="E83" s="353">
        <v>25</v>
      </c>
      <c r="F83" s="357">
        <v>135</v>
      </c>
      <c r="G83" s="345"/>
      <c r="H83" s="346"/>
      <c r="I83" s="358">
        <v>26</v>
      </c>
      <c r="J83" s="363">
        <f t="shared" ref="J83:J115" si="3">125+(0-125)/(58-25)*(I83-25)</f>
        <v>121.21212121212122</v>
      </c>
      <c r="K83" s="358">
        <v>125</v>
      </c>
      <c r="L83" s="362">
        <f t="shared" si="1"/>
        <v>72.321428571428569</v>
      </c>
      <c r="M83" s="361">
        <v>12.5</v>
      </c>
      <c r="N83" s="359">
        <v>135</v>
      </c>
      <c r="O83" s="346"/>
    </row>
    <row r="84" spans="1:15">
      <c r="A84" s="353">
        <v>26</v>
      </c>
      <c r="B84" s="354">
        <f t="shared" si="2"/>
        <v>79.166666666666657</v>
      </c>
      <c r="C84" s="355">
        <v>130</v>
      </c>
      <c r="D84" s="356">
        <f t="shared" si="0"/>
        <v>56.25</v>
      </c>
      <c r="E84" s="353">
        <v>25.5</v>
      </c>
      <c r="F84" s="357">
        <f t="shared" ref="F84:F103" si="4">135+(0-135)/(35-25.5)*(E84-25.5)</f>
        <v>135</v>
      </c>
      <c r="G84" s="345"/>
      <c r="H84" s="346"/>
      <c r="I84" s="358">
        <v>27</v>
      </c>
      <c r="J84" s="363">
        <f t="shared" si="3"/>
        <v>117.42424242424242</v>
      </c>
      <c r="K84" s="358">
        <v>130</v>
      </c>
      <c r="L84" s="362">
        <f t="shared" si="1"/>
        <v>67.5</v>
      </c>
      <c r="M84" s="361">
        <v>13</v>
      </c>
      <c r="N84" s="359">
        <v>135</v>
      </c>
      <c r="O84" s="346"/>
    </row>
    <row r="85" spans="1:15">
      <c r="A85" s="353">
        <v>27</v>
      </c>
      <c r="B85" s="354">
        <f t="shared" si="2"/>
        <v>75</v>
      </c>
      <c r="C85" s="355">
        <v>135</v>
      </c>
      <c r="D85" s="356">
        <f t="shared" si="0"/>
        <v>50.625</v>
      </c>
      <c r="E85" s="353">
        <v>26</v>
      </c>
      <c r="F85" s="354">
        <f t="shared" si="4"/>
        <v>127.89473684210526</v>
      </c>
      <c r="G85" s="345"/>
      <c r="H85" s="346"/>
      <c r="I85" s="358">
        <v>28</v>
      </c>
      <c r="J85" s="363">
        <f t="shared" si="3"/>
        <v>113.63636363636364</v>
      </c>
      <c r="K85" s="358">
        <v>135</v>
      </c>
      <c r="L85" s="362">
        <f t="shared" si="1"/>
        <v>62.678571428571431</v>
      </c>
      <c r="M85" s="361">
        <v>13.5</v>
      </c>
      <c r="N85" s="359">
        <v>135</v>
      </c>
      <c r="O85" s="346"/>
    </row>
    <row r="86" spans="1:15">
      <c r="A86" s="353">
        <v>28</v>
      </c>
      <c r="B86" s="354">
        <f t="shared" si="2"/>
        <v>70.833333333333329</v>
      </c>
      <c r="C86" s="355">
        <v>140</v>
      </c>
      <c r="D86" s="356">
        <f t="shared" si="0"/>
        <v>45</v>
      </c>
      <c r="E86" s="353">
        <v>26.5</v>
      </c>
      <c r="F86" s="354">
        <f t="shared" si="4"/>
        <v>120.78947368421052</v>
      </c>
      <c r="G86" s="345"/>
      <c r="H86" s="346"/>
      <c r="I86" s="358">
        <v>29</v>
      </c>
      <c r="J86" s="363">
        <f t="shared" si="3"/>
        <v>109.84848484848484</v>
      </c>
      <c r="K86" s="358">
        <v>140</v>
      </c>
      <c r="L86" s="362">
        <f t="shared" si="1"/>
        <v>57.857142857142861</v>
      </c>
      <c r="M86" s="361">
        <v>14</v>
      </c>
      <c r="N86" s="359">
        <v>135</v>
      </c>
      <c r="O86" s="346"/>
    </row>
    <row r="87" spans="1:15">
      <c r="A87" s="353">
        <v>29</v>
      </c>
      <c r="B87" s="354">
        <f t="shared" si="2"/>
        <v>66.666666666666657</v>
      </c>
      <c r="C87" s="355">
        <v>145</v>
      </c>
      <c r="D87" s="356">
        <f t="shared" si="0"/>
        <v>39.375</v>
      </c>
      <c r="E87" s="353">
        <v>27</v>
      </c>
      <c r="F87" s="354">
        <f t="shared" si="4"/>
        <v>113.68421052631578</v>
      </c>
      <c r="G87" s="345"/>
      <c r="H87" s="346"/>
      <c r="I87" s="358">
        <v>30</v>
      </c>
      <c r="J87" s="363">
        <f t="shared" si="3"/>
        <v>106.06060606060606</v>
      </c>
      <c r="K87" s="358">
        <v>145</v>
      </c>
      <c r="L87" s="362">
        <f t="shared" si="1"/>
        <v>53.035714285714278</v>
      </c>
      <c r="M87" s="361">
        <v>14.5</v>
      </c>
      <c r="N87" s="359">
        <v>135</v>
      </c>
      <c r="O87" s="346"/>
    </row>
    <row r="88" spans="1:15">
      <c r="A88" s="353">
        <v>30</v>
      </c>
      <c r="B88" s="354">
        <f t="shared" si="2"/>
        <v>62.499999999999993</v>
      </c>
      <c r="C88" s="355">
        <v>150</v>
      </c>
      <c r="D88" s="356">
        <f t="shared" si="0"/>
        <v>33.75</v>
      </c>
      <c r="E88" s="353">
        <v>27.5</v>
      </c>
      <c r="F88" s="354">
        <f t="shared" si="4"/>
        <v>106.57894736842105</v>
      </c>
      <c r="G88" s="345"/>
      <c r="H88" s="346"/>
      <c r="I88" s="358">
        <v>31</v>
      </c>
      <c r="J88" s="363">
        <f t="shared" si="3"/>
        <v>102.27272727272728</v>
      </c>
      <c r="K88" s="358">
        <v>150</v>
      </c>
      <c r="L88" s="362">
        <f t="shared" si="1"/>
        <v>48.214285714285708</v>
      </c>
      <c r="M88" s="361">
        <v>15</v>
      </c>
      <c r="N88" s="359">
        <v>135</v>
      </c>
      <c r="O88" s="346"/>
    </row>
    <row r="89" spans="1:15">
      <c r="A89" s="353">
        <v>31</v>
      </c>
      <c r="B89" s="354">
        <f t="shared" si="2"/>
        <v>58.333333333333329</v>
      </c>
      <c r="C89" s="355">
        <v>155</v>
      </c>
      <c r="D89" s="356">
        <f t="shared" si="0"/>
        <v>28.125</v>
      </c>
      <c r="E89" s="353">
        <v>28</v>
      </c>
      <c r="F89" s="354">
        <f t="shared" si="4"/>
        <v>99.473684210526315</v>
      </c>
      <c r="G89" s="345"/>
      <c r="H89" s="346"/>
      <c r="I89" s="358">
        <v>32</v>
      </c>
      <c r="J89" s="363">
        <f t="shared" si="3"/>
        <v>98.484848484848484</v>
      </c>
      <c r="K89" s="358">
        <v>155</v>
      </c>
      <c r="L89" s="362">
        <f t="shared" si="1"/>
        <v>43.392857142857139</v>
      </c>
      <c r="M89" s="361">
        <v>15.5</v>
      </c>
      <c r="N89" s="359">
        <v>135</v>
      </c>
      <c r="O89" s="346"/>
    </row>
    <row r="90" spans="1:15">
      <c r="A90" s="353">
        <v>32</v>
      </c>
      <c r="B90" s="354">
        <f t="shared" si="2"/>
        <v>54.166666666666657</v>
      </c>
      <c r="C90" s="355">
        <v>160</v>
      </c>
      <c r="D90" s="356">
        <f t="shared" si="0"/>
        <v>22.5</v>
      </c>
      <c r="E90" s="353">
        <v>28.5</v>
      </c>
      <c r="F90" s="354">
        <f t="shared" si="4"/>
        <v>92.368421052631575</v>
      </c>
      <c r="G90" s="345"/>
      <c r="H90" s="346"/>
      <c r="I90" s="358">
        <v>33</v>
      </c>
      <c r="J90" s="363">
        <f t="shared" si="3"/>
        <v>94.696969696969688</v>
      </c>
      <c r="K90" s="358">
        <v>160</v>
      </c>
      <c r="L90" s="362">
        <f t="shared" si="1"/>
        <v>38.571428571428569</v>
      </c>
      <c r="M90" s="361">
        <v>16</v>
      </c>
      <c r="N90" s="359">
        <v>135</v>
      </c>
      <c r="O90" s="346"/>
    </row>
    <row r="91" spans="1:15">
      <c r="A91" s="353">
        <v>33</v>
      </c>
      <c r="B91" s="354">
        <f t="shared" si="2"/>
        <v>50</v>
      </c>
      <c r="C91" s="355">
        <v>165</v>
      </c>
      <c r="D91" s="356">
        <f t="shared" si="0"/>
        <v>16.875</v>
      </c>
      <c r="E91" s="353">
        <v>29</v>
      </c>
      <c r="F91" s="354">
        <f t="shared" si="4"/>
        <v>85.26315789473685</v>
      </c>
      <c r="G91" s="345"/>
      <c r="H91" s="346"/>
      <c r="I91" s="358">
        <v>34</v>
      </c>
      <c r="J91" s="363">
        <f t="shared" si="3"/>
        <v>90.909090909090907</v>
      </c>
      <c r="K91" s="358">
        <v>165</v>
      </c>
      <c r="L91" s="362">
        <f t="shared" si="1"/>
        <v>33.75</v>
      </c>
      <c r="M91" s="361">
        <v>16.5</v>
      </c>
      <c r="N91" s="359">
        <v>135</v>
      </c>
      <c r="O91" s="346"/>
    </row>
    <row r="92" spans="1:15">
      <c r="A92" s="353">
        <v>34</v>
      </c>
      <c r="B92" s="354">
        <f t="shared" si="2"/>
        <v>45.833333333333329</v>
      </c>
      <c r="C92" s="355">
        <v>170</v>
      </c>
      <c r="D92" s="356">
        <f t="shared" si="0"/>
        <v>11.25</v>
      </c>
      <c r="E92" s="353">
        <v>29.5</v>
      </c>
      <c r="F92" s="354">
        <f t="shared" si="4"/>
        <v>78.15789473684211</v>
      </c>
      <c r="G92" s="345"/>
      <c r="H92" s="346"/>
      <c r="I92" s="358">
        <v>35</v>
      </c>
      <c r="J92" s="363">
        <f t="shared" si="3"/>
        <v>87.121212121212125</v>
      </c>
      <c r="K92" s="358">
        <v>170</v>
      </c>
      <c r="L92" s="362">
        <f t="shared" si="1"/>
        <v>28.928571428571431</v>
      </c>
      <c r="M92" s="361">
        <v>17</v>
      </c>
      <c r="N92" s="359">
        <v>135</v>
      </c>
      <c r="O92" s="346"/>
    </row>
    <row r="93" spans="1:15">
      <c r="A93" s="353">
        <v>35</v>
      </c>
      <c r="B93" s="354">
        <f t="shared" si="2"/>
        <v>41.666666666666657</v>
      </c>
      <c r="C93" s="355">
        <v>175</v>
      </c>
      <c r="D93" s="356">
        <f t="shared" si="0"/>
        <v>5.625</v>
      </c>
      <c r="E93" s="353">
        <v>30</v>
      </c>
      <c r="F93" s="354">
        <f t="shared" si="4"/>
        <v>71.05263157894737</v>
      </c>
      <c r="G93" s="345"/>
      <c r="H93" s="346"/>
      <c r="I93" s="358">
        <v>36</v>
      </c>
      <c r="J93" s="363">
        <f t="shared" si="3"/>
        <v>83.333333333333329</v>
      </c>
      <c r="K93" s="358">
        <v>175</v>
      </c>
      <c r="L93" s="362">
        <f t="shared" si="1"/>
        <v>24.107142857142861</v>
      </c>
      <c r="M93" s="361">
        <v>17.5</v>
      </c>
      <c r="N93" s="359">
        <v>135</v>
      </c>
      <c r="O93" s="346"/>
    </row>
    <row r="94" spans="1:15">
      <c r="A94" s="353">
        <v>36</v>
      </c>
      <c r="B94" s="354">
        <f t="shared" si="2"/>
        <v>37.5</v>
      </c>
      <c r="C94" s="364">
        <v>180</v>
      </c>
      <c r="D94" s="365">
        <f t="shared" si="0"/>
        <v>0</v>
      </c>
      <c r="E94" s="353">
        <v>30.5</v>
      </c>
      <c r="F94" s="354">
        <f t="shared" si="4"/>
        <v>63.94736842105263</v>
      </c>
      <c r="G94" s="345"/>
      <c r="H94" s="346"/>
      <c r="I94" s="358">
        <v>37</v>
      </c>
      <c r="J94" s="363">
        <f t="shared" si="3"/>
        <v>79.545454545454547</v>
      </c>
      <c r="K94" s="358">
        <v>180</v>
      </c>
      <c r="L94" s="362">
        <f t="shared" si="1"/>
        <v>19.285714285714278</v>
      </c>
      <c r="M94" s="361">
        <v>18</v>
      </c>
      <c r="N94" s="359">
        <v>135</v>
      </c>
      <c r="O94" s="346"/>
    </row>
    <row r="95" spans="1:15">
      <c r="A95" s="353">
        <v>37</v>
      </c>
      <c r="B95" s="354">
        <f t="shared" si="2"/>
        <v>33.333333333333329</v>
      </c>
      <c r="C95" s="366" t="s">
        <v>174</v>
      </c>
      <c r="D95" s="367" t="s">
        <v>23</v>
      </c>
      <c r="E95" s="353">
        <v>31</v>
      </c>
      <c r="F95" s="354">
        <f t="shared" si="4"/>
        <v>56.84210526315789</v>
      </c>
      <c r="G95" s="345"/>
      <c r="H95" s="346"/>
      <c r="I95" s="358">
        <v>38</v>
      </c>
      <c r="J95" s="363">
        <f t="shared" si="3"/>
        <v>75.757575757575751</v>
      </c>
      <c r="K95" s="358">
        <v>185</v>
      </c>
      <c r="L95" s="362">
        <f t="shared" si="1"/>
        <v>14.464285714285708</v>
      </c>
      <c r="M95" s="361">
        <v>18.5</v>
      </c>
      <c r="N95" s="359">
        <v>135</v>
      </c>
      <c r="O95" s="346"/>
    </row>
    <row r="96" spans="1:15">
      <c r="A96" s="353">
        <v>38</v>
      </c>
      <c r="B96" s="354">
        <f t="shared" si="2"/>
        <v>29.166666666666657</v>
      </c>
      <c r="C96" s="368">
        <v>0</v>
      </c>
      <c r="D96" s="369">
        <v>75</v>
      </c>
      <c r="E96" s="353">
        <v>31.5</v>
      </c>
      <c r="F96" s="354">
        <f t="shared" si="4"/>
        <v>49.73684210526315</v>
      </c>
      <c r="G96" s="345"/>
      <c r="H96" s="346"/>
      <c r="I96" s="358">
        <v>39</v>
      </c>
      <c r="J96" s="363">
        <f t="shared" si="3"/>
        <v>71.969696969696969</v>
      </c>
      <c r="K96" s="358">
        <v>190</v>
      </c>
      <c r="L96" s="362">
        <f t="shared" si="1"/>
        <v>9.6428571428571388</v>
      </c>
      <c r="M96" s="361">
        <v>19</v>
      </c>
      <c r="N96" s="359">
        <v>135</v>
      </c>
      <c r="O96" s="346"/>
    </row>
    <row r="97" spans="1:15">
      <c r="A97" s="353">
        <v>39</v>
      </c>
      <c r="B97" s="354">
        <f t="shared" si="2"/>
        <v>25</v>
      </c>
      <c r="C97" s="368">
        <v>1</v>
      </c>
      <c r="D97" s="369">
        <f t="shared" ref="D97:D99" si="5">75+(0-75)/(5-0)*(C97-0)</f>
        <v>60</v>
      </c>
      <c r="E97" s="353">
        <v>32</v>
      </c>
      <c r="F97" s="354">
        <f t="shared" si="4"/>
        <v>42.631578947368411</v>
      </c>
      <c r="G97" s="345"/>
      <c r="H97" s="346"/>
      <c r="I97" s="358">
        <v>40</v>
      </c>
      <c r="J97" s="363">
        <f t="shared" si="3"/>
        <v>68.181818181818187</v>
      </c>
      <c r="K97" s="358">
        <v>195</v>
      </c>
      <c r="L97" s="362">
        <f t="shared" si="1"/>
        <v>4.8214285714285552</v>
      </c>
      <c r="M97" s="361">
        <v>19.5</v>
      </c>
      <c r="N97" s="359">
        <v>135</v>
      </c>
      <c r="O97" s="346"/>
    </row>
    <row r="98" spans="1:15">
      <c r="A98" s="353">
        <v>40</v>
      </c>
      <c r="B98" s="354">
        <f t="shared" si="2"/>
        <v>20.833333333333329</v>
      </c>
      <c r="C98" s="368">
        <v>2</v>
      </c>
      <c r="D98" s="369">
        <f t="shared" si="5"/>
        <v>45</v>
      </c>
      <c r="E98" s="353">
        <v>32.5</v>
      </c>
      <c r="F98" s="354">
        <f t="shared" si="4"/>
        <v>35.526315789473685</v>
      </c>
      <c r="G98" s="345"/>
      <c r="H98" s="346"/>
      <c r="I98" s="358">
        <v>41</v>
      </c>
      <c r="J98" s="363">
        <f t="shared" si="3"/>
        <v>64.393939393939391</v>
      </c>
      <c r="K98" s="370">
        <v>200</v>
      </c>
      <c r="L98" s="371">
        <f t="shared" si="1"/>
        <v>0</v>
      </c>
      <c r="M98" s="361">
        <v>20</v>
      </c>
      <c r="N98" s="359">
        <v>135</v>
      </c>
      <c r="O98" s="346"/>
    </row>
    <row r="99" spans="1:15">
      <c r="A99" s="353">
        <v>41</v>
      </c>
      <c r="B99" s="354">
        <f t="shared" si="2"/>
        <v>16.666666666666657</v>
      </c>
      <c r="C99" s="368">
        <v>3</v>
      </c>
      <c r="D99" s="369">
        <f t="shared" si="5"/>
        <v>30</v>
      </c>
      <c r="E99" s="353">
        <v>33</v>
      </c>
      <c r="F99" s="354">
        <f t="shared" si="4"/>
        <v>28.421052631578945</v>
      </c>
      <c r="G99" s="345"/>
      <c r="H99" s="346"/>
      <c r="I99" s="358">
        <v>42</v>
      </c>
      <c r="J99" s="363">
        <f t="shared" si="3"/>
        <v>60.606060606060609</v>
      </c>
      <c r="K99" s="350" t="s">
        <v>174</v>
      </c>
      <c r="L99" s="351" t="s">
        <v>23</v>
      </c>
      <c r="M99" s="361">
        <v>20.5</v>
      </c>
      <c r="N99" s="359">
        <v>135</v>
      </c>
      <c r="O99" s="346"/>
    </row>
    <row r="100" spans="1:15">
      <c r="A100" s="353">
        <v>42</v>
      </c>
      <c r="B100" s="354">
        <f t="shared" si="2"/>
        <v>12.499999999999986</v>
      </c>
      <c r="C100" s="368">
        <v>4</v>
      </c>
      <c r="D100" s="369">
        <f t="shared" ref="D100:D101" si="6">75+(0-75)/(5-0)*(C100-0)</f>
        <v>15</v>
      </c>
      <c r="E100" s="353">
        <v>33.5</v>
      </c>
      <c r="F100" s="354">
        <f t="shared" si="4"/>
        <v>21.315789473684205</v>
      </c>
      <c r="G100" s="345"/>
      <c r="H100" s="346"/>
      <c r="I100" s="358">
        <v>43</v>
      </c>
      <c r="J100" s="363">
        <f t="shared" si="3"/>
        <v>56.818181818181813</v>
      </c>
      <c r="K100" s="358">
        <v>0</v>
      </c>
      <c r="L100" s="363">
        <v>75</v>
      </c>
      <c r="M100" s="361">
        <v>21</v>
      </c>
      <c r="N100" s="359">
        <v>135</v>
      </c>
      <c r="O100" s="346"/>
    </row>
    <row r="101" spans="1:15">
      <c r="A101" s="353">
        <v>43</v>
      </c>
      <c r="B101" s="354">
        <f t="shared" si="2"/>
        <v>8.3333333333333286</v>
      </c>
      <c r="C101" s="372">
        <v>5</v>
      </c>
      <c r="D101" s="373">
        <f t="shared" si="6"/>
        <v>0</v>
      </c>
      <c r="E101" s="353">
        <v>34</v>
      </c>
      <c r="F101" s="354">
        <f t="shared" si="4"/>
        <v>14.210526315789465</v>
      </c>
      <c r="G101" s="345"/>
      <c r="H101" s="346"/>
      <c r="I101" s="358">
        <v>44</v>
      </c>
      <c r="J101" s="363">
        <f t="shared" si="3"/>
        <v>53.030303030303031</v>
      </c>
      <c r="K101" s="358">
        <v>1</v>
      </c>
      <c r="L101" s="363">
        <v>75</v>
      </c>
      <c r="M101" s="361">
        <v>21.5</v>
      </c>
      <c r="N101" s="359">
        <v>135</v>
      </c>
      <c r="O101" s="346"/>
    </row>
    <row r="102" spans="1:15">
      <c r="A102" s="353">
        <v>44</v>
      </c>
      <c r="B102" s="354">
        <f t="shared" si="2"/>
        <v>4.1666666666666572</v>
      </c>
      <c r="C102" s="374"/>
      <c r="D102" s="375"/>
      <c r="E102" s="353">
        <v>34.5</v>
      </c>
      <c r="F102" s="354">
        <f t="shared" si="4"/>
        <v>7.1052631578947256</v>
      </c>
      <c r="G102" s="345"/>
      <c r="H102" s="346"/>
      <c r="I102" s="358">
        <v>45</v>
      </c>
      <c r="J102" s="363">
        <f t="shared" si="3"/>
        <v>49.242424242424235</v>
      </c>
      <c r="K102" s="358">
        <v>2</v>
      </c>
      <c r="L102" s="363">
        <v>75</v>
      </c>
      <c r="M102" s="361">
        <v>22</v>
      </c>
      <c r="N102" s="359">
        <v>135</v>
      </c>
      <c r="O102" s="346"/>
    </row>
    <row r="103" spans="1:15">
      <c r="A103" s="376">
        <v>45</v>
      </c>
      <c r="B103" s="354">
        <f t="shared" si="2"/>
        <v>0</v>
      </c>
      <c r="C103" s="374"/>
      <c r="D103" s="375"/>
      <c r="E103" s="376">
        <v>35</v>
      </c>
      <c r="F103" s="377">
        <f t="shared" si="4"/>
        <v>0</v>
      </c>
      <c r="G103" s="345"/>
      <c r="H103" s="346"/>
      <c r="I103" s="358">
        <v>46</v>
      </c>
      <c r="J103" s="363">
        <f t="shared" si="3"/>
        <v>45.454545454545453</v>
      </c>
      <c r="K103" s="358">
        <v>3</v>
      </c>
      <c r="L103" s="363">
        <f t="shared" ref="L103:L110" si="7">75+(0-75)/(10-2)*(K103-2)</f>
        <v>65.625</v>
      </c>
      <c r="M103" s="361">
        <v>22.5</v>
      </c>
      <c r="N103" s="359">
        <v>135</v>
      </c>
      <c r="O103" s="346"/>
    </row>
    <row r="104" spans="1:15">
      <c r="A104" s="345"/>
      <c r="B104" s="345"/>
      <c r="C104" s="374"/>
      <c r="D104" s="375"/>
      <c r="E104" s="345"/>
      <c r="F104" s="345"/>
      <c r="G104" s="345"/>
      <c r="H104" s="346"/>
      <c r="I104" s="358">
        <v>47</v>
      </c>
      <c r="J104" s="363">
        <f t="shared" si="3"/>
        <v>41.666666666666657</v>
      </c>
      <c r="K104" s="358">
        <v>4</v>
      </c>
      <c r="L104" s="363">
        <f t="shared" si="7"/>
        <v>56.25</v>
      </c>
      <c r="M104" s="361">
        <v>23</v>
      </c>
      <c r="N104" s="359">
        <v>135</v>
      </c>
      <c r="O104" s="346"/>
    </row>
    <row r="105" spans="1:15">
      <c r="C105" s="378"/>
      <c r="D105" s="379"/>
      <c r="H105" s="346"/>
      <c r="I105" s="358">
        <v>48</v>
      </c>
      <c r="J105" s="363">
        <f t="shared" si="3"/>
        <v>37.878787878787875</v>
      </c>
      <c r="K105" s="358">
        <v>5</v>
      </c>
      <c r="L105" s="363">
        <f t="shared" si="7"/>
        <v>46.875</v>
      </c>
      <c r="M105" s="361">
        <v>23.5</v>
      </c>
      <c r="N105" s="359">
        <v>135</v>
      </c>
      <c r="O105" s="346"/>
    </row>
    <row r="106" spans="1:15">
      <c r="C106" s="378"/>
      <c r="D106" s="379"/>
      <c r="H106" s="346"/>
      <c r="I106" s="358">
        <v>49</v>
      </c>
      <c r="J106" s="363">
        <f t="shared" si="3"/>
        <v>34.090909090909093</v>
      </c>
      <c r="K106" s="358">
        <v>6</v>
      </c>
      <c r="L106" s="363">
        <f t="shared" si="7"/>
        <v>37.5</v>
      </c>
      <c r="M106" s="361">
        <v>24</v>
      </c>
      <c r="N106" s="359">
        <v>135</v>
      </c>
      <c r="O106" s="346"/>
    </row>
    <row r="107" spans="1:15">
      <c r="C107" s="378"/>
      <c r="D107" s="379"/>
      <c r="H107" s="346"/>
      <c r="I107" s="358">
        <v>50</v>
      </c>
      <c r="J107" s="363">
        <f t="shared" si="3"/>
        <v>30.303030303030297</v>
      </c>
      <c r="K107" s="358">
        <v>7</v>
      </c>
      <c r="L107" s="363">
        <f t="shared" si="7"/>
        <v>28.125</v>
      </c>
      <c r="M107" s="361">
        <v>24.5</v>
      </c>
      <c r="N107" s="359">
        <v>135</v>
      </c>
      <c r="O107" s="346"/>
    </row>
    <row r="108" spans="1:15">
      <c r="H108" s="346"/>
      <c r="I108" s="358">
        <v>51</v>
      </c>
      <c r="J108" s="363">
        <f t="shared" si="3"/>
        <v>26.515151515151516</v>
      </c>
      <c r="K108" s="358">
        <v>8</v>
      </c>
      <c r="L108" s="363">
        <f t="shared" si="7"/>
        <v>18.75</v>
      </c>
      <c r="M108" s="361">
        <v>25</v>
      </c>
      <c r="N108" s="359">
        <v>135</v>
      </c>
      <c r="O108" s="346"/>
    </row>
    <row r="109" spans="1:15">
      <c r="H109" s="346"/>
      <c r="I109" s="358">
        <v>52</v>
      </c>
      <c r="J109" s="363">
        <f t="shared" si="3"/>
        <v>22.72727272727272</v>
      </c>
      <c r="K109" s="358">
        <v>9</v>
      </c>
      <c r="L109" s="363">
        <f t="shared" si="7"/>
        <v>9.375</v>
      </c>
      <c r="M109" s="361">
        <v>25.5</v>
      </c>
      <c r="N109" s="359">
        <v>135</v>
      </c>
      <c r="O109" s="346"/>
    </row>
    <row r="110" spans="1:15">
      <c r="H110" s="346"/>
      <c r="I110" s="358">
        <v>53</v>
      </c>
      <c r="J110" s="363">
        <f t="shared" si="3"/>
        <v>18.939393939393938</v>
      </c>
      <c r="K110" s="370">
        <v>10</v>
      </c>
      <c r="L110" s="380">
        <f t="shared" si="7"/>
        <v>0</v>
      </c>
      <c r="M110" s="361">
        <v>26</v>
      </c>
      <c r="N110" s="359">
        <v>135</v>
      </c>
      <c r="O110" s="346"/>
    </row>
    <row r="111" spans="1:15">
      <c r="H111" s="346"/>
      <c r="I111" s="358">
        <v>54</v>
      </c>
      <c r="J111" s="363">
        <f t="shared" si="3"/>
        <v>15.151515151515142</v>
      </c>
      <c r="K111" s="346"/>
      <c r="L111" s="346"/>
      <c r="M111" s="361">
        <v>26.5</v>
      </c>
      <c r="N111" s="359">
        <v>135</v>
      </c>
      <c r="O111" s="346"/>
    </row>
    <row r="112" spans="1:15">
      <c r="H112" s="346"/>
      <c r="I112" s="358">
        <v>55</v>
      </c>
      <c r="J112" s="363">
        <f t="shared" si="3"/>
        <v>11.36363636363636</v>
      </c>
      <c r="K112" s="346"/>
      <c r="L112" s="346"/>
      <c r="M112" s="361">
        <v>27</v>
      </c>
      <c r="N112" s="359">
        <v>135</v>
      </c>
      <c r="O112" s="346"/>
    </row>
    <row r="113" spans="8:15">
      <c r="H113" s="346"/>
      <c r="I113" s="358">
        <v>56</v>
      </c>
      <c r="J113" s="363">
        <f t="shared" si="3"/>
        <v>7.5757575757575637</v>
      </c>
      <c r="K113" s="346"/>
      <c r="L113" s="346"/>
      <c r="M113" s="361">
        <v>27.5</v>
      </c>
      <c r="N113" s="359">
        <v>135</v>
      </c>
      <c r="O113" s="346"/>
    </row>
    <row r="114" spans="8:15">
      <c r="H114" s="346"/>
      <c r="I114" s="358">
        <v>57</v>
      </c>
      <c r="J114" s="363">
        <f t="shared" si="3"/>
        <v>3.7878787878787818</v>
      </c>
      <c r="K114" s="346"/>
      <c r="L114" s="346"/>
      <c r="M114" s="361">
        <v>28</v>
      </c>
      <c r="N114" s="359">
        <v>135</v>
      </c>
      <c r="O114" s="346"/>
    </row>
    <row r="115" spans="8:15">
      <c r="H115" s="346"/>
      <c r="I115" s="370">
        <v>58</v>
      </c>
      <c r="J115" s="363">
        <f t="shared" si="3"/>
        <v>0</v>
      </c>
      <c r="K115" s="346"/>
      <c r="L115" s="346"/>
      <c r="M115" s="361">
        <v>28.5</v>
      </c>
      <c r="N115" s="359">
        <v>135</v>
      </c>
      <c r="O115" s="346"/>
    </row>
    <row r="116" spans="8:15">
      <c r="H116" s="346"/>
      <c r="I116" s="346"/>
      <c r="J116" s="346"/>
      <c r="K116" s="346"/>
      <c r="L116" s="346"/>
      <c r="M116" s="361">
        <v>29</v>
      </c>
      <c r="N116" s="381">
        <f t="shared" ref="N116:N148" si="8">135+(0-135)/(45-28.5)*(M116-28.5)</f>
        <v>130.90909090909091</v>
      </c>
      <c r="O116" s="346"/>
    </row>
    <row r="117" spans="8:15">
      <c r="H117" s="346"/>
      <c r="I117" s="346"/>
      <c r="J117" s="346"/>
      <c r="K117" s="346"/>
      <c r="L117" s="346"/>
      <c r="M117" s="361">
        <v>29.5</v>
      </c>
      <c r="N117" s="381">
        <f t="shared" si="8"/>
        <v>126.81818181818181</v>
      </c>
      <c r="O117" s="346"/>
    </row>
    <row r="118" spans="8:15">
      <c r="H118" s="346"/>
      <c r="I118" s="346"/>
      <c r="J118" s="346"/>
      <c r="K118" s="346"/>
      <c r="L118" s="346"/>
      <c r="M118" s="361">
        <v>30</v>
      </c>
      <c r="N118" s="381">
        <f t="shared" si="8"/>
        <v>122.72727272727272</v>
      </c>
      <c r="O118" s="346"/>
    </row>
    <row r="119" spans="8:15">
      <c r="H119" s="346"/>
      <c r="I119" s="346"/>
      <c r="J119" s="346"/>
      <c r="K119" s="346"/>
      <c r="L119" s="346"/>
      <c r="M119" s="361">
        <v>30.5</v>
      </c>
      <c r="N119" s="381">
        <f t="shared" si="8"/>
        <v>118.63636363636364</v>
      </c>
      <c r="O119" s="346"/>
    </row>
    <row r="120" spans="8:15">
      <c r="H120" s="346"/>
      <c r="I120" s="346"/>
      <c r="J120" s="346"/>
      <c r="K120" s="346"/>
      <c r="L120" s="346"/>
      <c r="M120" s="361">
        <v>31</v>
      </c>
      <c r="N120" s="381">
        <f t="shared" si="8"/>
        <v>114.54545454545455</v>
      </c>
      <c r="O120" s="346"/>
    </row>
    <row r="121" spans="8:15">
      <c r="H121" s="346"/>
      <c r="I121" s="346"/>
      <c r="J121" s="346"/>
      <c r="K121" s="346"/>
      <c r="L121" s="346"/>
      <c r="M121" s="361">
        <v>31.5</v>
      </c>
      <c r="N121" s="381">
        <f t="shared" si="8"/>
        <v>110.45454545454545</v>
      </c>
      <c r="O121" s="346"/>
    </row>
    <row r="122" spans="8:15">
      <c r="H122" s="346"/>
      <c r="I122" s="346"/>
      <c r="J122" s="346"/>
      <c r="K122" s="346"/>
      <c r="L122" s="346"/>
      <c r="M122" s="361">
        <v>32</v>
      </c>
      <c r="N122" s="381">
        <f t="shared" si="8"/>
        <v>106.36363636363636</v>
      </c>
      <c r="O122" s="346"/>
    </row>
    <row r="123" spans="8:15">
      <c r="H123" s="346"/>
      <c r="I123" s="346"/>
      <c r="J123" s="346"/>
      <c r="K123" s="346"/>
      <c r="L123" s="346"/>
      <c r="M123" s="361">
        <v>32.5</v>
      </c>
      <c r="N123" s="381">
        <f t="shared" si="8"/>
        <v>102.27272727272728</v>
      </c>
      <c r="O123" s="346"/>
    </row>
    <row r="124" spans="8:15">
      <c r="H124" s="346"/>
      <c r="I124" s="346"/>
      <c r="J124" s="346"/>
      <c r="K124" s="346"/>
      <c r="L124" s="346"/>
      <c r="M124" s="361">
        <v>33</v>
      </c>
      <c r="N124" s="381">
        <f t="shared" si="8"/>
        <v>98.181818181818187</v>
      </c>
      <c r="O124" s="346"/>
    </row>
    <row r="125" spans="8:15">
      <c r="H125" s="346"/>
      <c r="I125" s="346"/>
      <c r="J125" s="346"/>
      <c r="K125" s="346"/>
      <c r="L125" s="346"/>
      <c r="M125" s="361">
        <v>33.5</v>
      </c>
      <c r="N125" s="381">
        <f t="shared" si="8"/>
        <v>94.090909090909093</v>
      </c>
      <c r="O125" s="346"/>
    </row>
    <row r="126" spans="8:15">
      <c r="H126" s="346"/>
      <c r="I126" s="346"/>
      <c r="J126" s="346"/>
      <c r="K126" s="346"/>
      <c r="L126" s="346"/>
      <c r="M126" s="361">
        <v>34</v>
      </c>
      <c r="N126" s="381">
        <f t="shared" si="8"/>
        <v>90</v>
      </c>
      <c r="O126" s="346"/>
    </row>
    <row r="127" spans="8:15">
      <c r="H127" s="346"/>
      <c r="I127" s="346"/>
      <c r="J127" s="346"/>
      <c r="K127" s="346"/>
      <c r="L127" s="346"/>
      <c r="M127" s="361">
        <v>34.5</v>
      </c>
      <c r="N127" s="381">
        <f t="shared" si="8"/>
        <v>85.909090909090907</v>
      </c>
      <c r="O127" s="346"/>
    </row>
    <row r="128" spans="8:15">
      <c r="H128" s="346"/>
      <c r="I128" s="346"/>
      <c r="J128" s="346"/>
      <c r="K128" s="346"/>
      <c r="L128" s="346"/>
      <c r="M128" s="361">
        <v>35</v>
      </c>
      <c r="N128" s="381">
        <f t="shared" si="8"/>
        <v>81.818181818181813</v>
      </c>
      <c r="O128" s="346"/>
    </row>
    <row r="129" spans="8:15">
      <c r="H129" s="346"/>
      <c r="I129" s="346"/>
      <c r="J129" s="346"/>
      <c r="K129" s="346"/>
      <c r="L129" s="346"/>
      <c r="M129" s="361">
        <v>35.5</v>
      </c>
      <c r="N129" s="381">
        <f t="shared" si="8"/>
        <v>77.72727272727272</v>
      </c>
      <c r="O129" s="346"/>
    </row>
    <row r="130" spans="8:15">
      <c r="H130" s="346"/>
      <c r="I130" s="346"/>
      <c r="J130" s="346"/>
      <c r="K130" s="346"/>
      <c r="L130" s="346"/>
      <c r="M130" s="361">
        <v>36</v>
      </c>
      <c r="N130" s="381">
        <f t="shared" si="8"/>
        <v>73.63636363636364</v>
      </c>
      <c r="O130" s="346"/>
    </row>
    <row r="131" spans="8:15">
      <c r="H131" s="346"/>
      <c r="I131" s="346"/>
      <c r="J131" s="346"/>
      <c r="K131" s="346"/>
      <c r="L131" s="346"/>
      <c r="M131" s="361">
        <v>36.5</v>
      </c>
      <c r="N131" s="381">
        <f t="shared" si="8"/>
        <v>69.545454545454547</v>
      </c>
      <c r="O131" s="346"/>
    </row>
    <row r="132" spans="8:15">
      <c r="H132" s="346"/>
      <c r="I132" s="346"/>
      <c r="J132" s="346"/>
      <c r="K132" s="346"/>
      <c r="L132" s="346"/>
      <c r="M132" s="361">
        <v>37</v>
      </c>
      <c r="N132" s="381">
        <f t="shared" si="8"/>
        <v>65.454545454545453</v>
      </c>
      <c r="O132" s="346"/>
    </row>
    <row r="133" spans="8:15">
      <c r="H133" s="346"/>
      <c r="I133" s="346"/>
      <c r="J133" s="346"/>
      <c r="K133" s="346"/>
      <c r="L133" s="346"/>
      <c r="M133" s="361">
        <v>37.5</v>
      </c>
      <c r="N133" s="381">
        <f t="shared" si="8"/>
        <v>61.36363636363636</v>
      </c>
      <c r="O133" s="346"/>
    </row>
    <row r="134" spans="8:15">
      <c r="H134" s="346"/>
      <c r="I134" s="346"/>
      <c r="J134" s="346"/>
      <c r="K134" s="346"/>
      <c r="L134" s="346"/>
      <c r="M134" s="361">
        <v>38</v>
      </c>
      <c r="N134" s="381">
        <f t="shared" si="8"/>
        <v>57.27272727272728</v>
      </c>
      <c r="O134" s="346"/>
    </row>
    <row r="135" spans="8:15">
      <c r="H135" s="346"/>
      <c r="I135" s="346"/>
      <c r="J135" s="346"/>
      <c r="K135" s="346"/>
      <c r="L135" s="346"/>
      <c r="M135" s="361">
        <v>38.5</v>
      </c>
      <c r="N135" s="381">
        <f t="shared" si="8"/>
        <v>53.181818181818187</v>
      </c>
      <c r="O135" s="346"/>
    </row>
    <row r="136" spans="8:15">
      <c r="H136" s="346"/>
      <c r="I136" s="346"/>
      <c r="J136" s="346"/>
      <c r="K136" s="346"/>
      <c r="L136" s="346"/>
      <c r="M136" s="361">
        <v>39</v>
      </c>
      <c r="N136" s="381">
        <f t="shared" si="8"/>
        <v>49.090909090909093</v>
      </c>
      <c r="O136" s="346"/>
    </row>
    <row r="137" spans="8:15">
      <c r="H137" s="346"/>
      <c r="I137" s="346"/>
      <c r="J137" s="346"/>
      <c r="K137" s="346"/>
      <c r="L137" s="346"/>
      <c r="M137" s="361">
        <v>39.5</v>
      </c>
      <c r="N137" s="381">
        <f t="shared" si="8"/>
        <v>45</v>
      </c>
      <c r="O137" s="346"/>
    </row>
    <row r="138" spans="8:15">
      <c r="H138" s="346"/>
      <c r="I138" s="346"/>
      <c r="J138" s="346"/>
      <c r="K138" s="346"/>
      <c r="L138" s="346"/>
      <c r="M138" s="361">
        <v>40</v>
      </c>
      <c r="N138" s="381">
        <f t="shared" si="8"/>
        <v>40.909090909090907</v>
      </c>
      <c r="O138" s="346"/>
    </row>
    <row r="139" spans="8:15">
      <c r="H139" s="346"/>
      <c r="I139" s="346"/>
      <c r="J139" s="346"/>
      <c r="K139" s="346"/>
      <c r="L139" s="346"/>
      <c r="M139" s="361">
        <v>40.5</v>
      </c>
      <c r="N139" s="381">
        <f t="shared" si="8"/>
        <v>36.818181818181813</v>
      </c>
      <c r="O139" s="346"/>
    </row>
    <row r="140" spans="8:15">
      <c r="H140" s="346"/>
      <c r="I140" s="346"/>
      <c r="J140" s="346"/>
      <c r="K140" s="346"/>
      <c r="L140" s="346"/>
      <c r="M140" s="361">
        <v>41</v>
      </c>
      <c r="N140" s="381">
        <f t="shared" si="8"/>
        <v>32.727272727272734</v>
      </c>
      <c r="O140" s="346"/>
    </row>
    <row r="141" spans="8:15">
      <c r="H141" s="346"/>
      <c r="I141" s="346"/>
      <c r="J141" s="346"/>
      <c r="K141" s="346"/>
      <c r="L141" s="346"/>
      <c r="M141" s="361">
        <v>41.5</v>
      </c>
      <c r="N141" s="381">
        <f t="shared" si="8"/>
        <v>28.63636363636364</v>
      </c>
      <c r="O141" s="346"/>
    </row>
    <row r="142" spans="8:15">
      <c r="H142" s="346"/>
      <c r="I142" s="346"/>
      <c r="J142" s="346"/>
      <c r="K142" s="346"/>
      <c r="L142" s="346"/>
      <c r="M142" s="361">
        <v>42</v>
      </c>
      <c r="N142" s="381">
        <f t="shared" si="8"/>
        <v>24.545454545454547</v>
      </c>
      <c r="O142" s="346"/>
    </row>
    <row r="143" spans="8:15">
      <c r="H143" s="346"/>
      <c r="I143" s="346"/>
      <c r="J143" s="346"/>
      <c r="K143" s="346"/>
      <c r="L143" s="346"/>
      <c r="M143" s="361">
        <v>42.5</v>
      </c>
      <c r="N143" s="381">
        <f t="shared" si="8"/>
        <v>20.454545454545453</v>
      </c>
      <c r="O143" s="346"/>
    </row>
    <row r="144" spans="8:15">
      <c r="H144" s="346"/>
      <c r="I144" s="346"/>
      <c r="J144" s="346"/>
      <c r="K144" s="346"/>
      <c r="L144" s="346"/>
      <c r="M144" s="361">
        <v>43</v>
      </c>
      <c r="N144" s="381">
        <f t="shared" si="8"/>
        <v>16.36363636363636</v>
      </c>
      <c r="O144" s="346"/>
    </row>
    <row r="145" spans="8:15">
      <c r="H145" s="346"/>
      <c r="I145" s="346"/>
      <c r="J145" s="346"/>
      <c r="K145" s="346"/>
      <c r="L145" s="346"/>
      <c r="M145" s="361">
        <v>43.5</v>
      </c>
      <c r="N145" s="381">
        <f t="shared" si="8"/>
        <v>12.27272727272728</v>
      </c>
      <c r="O145" s="346"/>
    </row>
    <row r="146" spans="8:15">
      <c r="H146" s="346"/>
      <c r="I146" s="346"/>
      <c r="J146" s="346"/>
      <c r="K146" s="346"/>
      <c r="L146" s="346"/>
      <c r="M146" s="361">
        <v>44</v>
      </c>
      <c r="N146" s="381">
        <f t="shared" si="8"/>
        <v>8.181818181818187</v>
      </c>
      <c r="O146" s="346"/>
    </row>
    <row r="147" spans="8:15">
      <c r="H147" s="346"/>
      <c r="I147" s="346"/>
      <c r="J147" s="346"/>
      <c r="K147" s="346"/>
      <c r="L147" s="346"/>
      <c r="M147" s="361">
        <v>44.5</v>
      </c>
      <c r="N147" s="381">
        <f t="shared" si="8"/>
        <v>4.0909090909090935</v>
      </c>
      <c r="O147" s="346"/>
    </row>
    <row r="148" spans="8:15">
      <c r="H148" s="346"/>
      <c r="I148" s="346"/>
      <c r="J148" s="346"/>
      <c r="K148" s="346"/>
      <c r="L148" s="346"/>
      <c r="M148" s="382">
        <v>45</v>
      </c>
      <c r="N148" s="383">
        <f t="shared" si="8"/>
        <v>0</v>
      </c>
      <c r="O148" s="346"/>
    </row>
    <row r="149" spans="8:15">
      <c r="H149" s="346"/>
      <c r="I149" s="346"/>
      <c r="J149" s="346"/>
      <c r="K149" s="346"/>
      <c r="L149" s="346"/>
      <c r="M149" s="346"/>
      <c r="N149" s="346"/>
      <c r="O149" s="346"/>
    </row>
  </sheetData>
  <mergeCells count="2">
    <mergeCell ref="A4:G5"/>
    <mergeCell ref="I4:O5"/>
  </mergeCells>
  <pageMargins left="0.7" right="0.7" top="0.78740157500000008" bottom="0.78740157500000008" header="0.3" footer="0.3"/>
  <pageSetup paperSize="9" scale="29" fitToHeight="0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N29"/>
  <sheetViews>
    <sheetView showGridLines="0" workbookViewId="0">
      <selection activeCell="O17" sqref="O17"/>
    </sheetView>
  </sheetViews>
  <sheetFormatPr baseColWidth="10" defaultColWidth="11.42578125" defaultRowHeight="14.25"/>
  <cols>
    <col min="1" max="1" width="55.85546875" style="292" customWidth="1"/>
    <col min="2" max="2" width="42.7109375" style="292" bestFit="1" customWidth="1"/>
    <col min="3" max="3" width="13.85546875" style="292" customWidth="1"/>
    <col min="4" max="4" width="30.7109375" style="292" customWidth="1"/>
    <col min="5" max="5" width="5.7109375" style="292" hidden="1" customWidth="1"/>
    <col min="6" max="6" width="55.85546875" style="292" hidden="1" customWidth="1"/>
    <col min="7" max="7" width="42.7109375" style="292" hidden="1" customWidth="1"/>
    <col min="8" max="8" width="13.85546875" style="292" hidden="1" customWidth="1"/>
    <col min="9" max="9" width="30.7109375" style="292" hidden="1" customWidth="1"/>
    <col min="10" max="10" width="5.7109375" style="292" customWidth="1"/>
    <col min="11" max="11" width="55.85546875" style="292" hidden="1" customWidth="1"/>
    <col min="12" max="12" width="42.7109375" style="292" hidden="1" customWidth="1"/>
    <col min="13" max="13" width="13.85546875" style="292" hidden="1" customWidth="1"/>
    <col min="14" max="14" width="30.7109375" style="292" hidden="1" customWidth="1"/>
    <col min="15" max="15" width="30.7109375" style="292" customWidth="1"/>
    <col min="16" max="16384" width="11.42578125" style="292"/>
  </cols>
  <sheetData>
    <row r="1" spans="1:14" s="293" customFormat="1" ht="24.95" customHeight="1">
      <c r="A1" s="963" t="s">
        <v>342</v>
      </c>
      <c r="B1" s="963"/>
      <c r="C1" s="963"/>
      <c r="D1" s="615"/>
      <c r="F1" s="940" t="s">
        <v>139</v>
      </c>
      <c r="G1" s="943"/>
      <c r="H1" s="944"/>
      <c r="K1" s="940" t="s">
        <v>140</v>
      </c>
      <c r="L1" s="941"/>
      <c r="M1" s="942"/>
    </row>
    <row r="2" spans="1:14" s="293" customFormat="1" ht="7.5" customHeight="1">
      <c r="A2" s="616"/>
      <c r="B2" s="617"/>
      <c r="C2" s="618"/>
      <c r="D2" s="619"/>
    </row>
    <row r="3" spans="1:14" s="293" customFormat="1" ht="24.95" customHeight="1">
      <c r="A3" s="620" t="str">
        <f>IF(ISTEXT(Punktevergabe!E5),CONCATENATE("Eingabefeld OIB RL-6 ", (Punktevergabe!E5),""))</f>
        <v>Eingabefeld OIB RL-6 Neubau</v>
      </c>
      <c r="B3" s="621" t="s">
        <v>23</v>
      </c>
      <c r="C3" s="622"/>
      <c r="D3" s="623" t="s">
        <v>24</v>
      </c>
      <c r="F3" s="934" t="s">
        <v>175</v>
      </c>
      <c r="G3" s="935"/>
      <c r="H3" s="936"/>
      <c r="I3" s="384" t="s">
        <v>24</v>
      </c>
      <c r="K3" s="934" t="s">
        <v>176</v>
      </c>
      <c r="L3" s="935"/>
      <c r="M3" s="936"/>
      <c r="N3" s="384" t="s">
        <v>24</v>
      </c>
    </row>
    <row r="4" spans="1:14" s="299" customFormat="1" ht="24.95" customHeight="1">
      <c r="A4" s="624" t="s">
        <v>177</v>
      </c>
      <c r="B4" s="625"/>
      <c r="C4" s="626" t="s">
        <v>178</v>
      </c>
      <c r="D4" s="627"/>
      <c r="F4" s="295" t="s">
        <v>177</v>
      </c>
      <c r="G4" s="385">
        <f>IF(AND(ISNUMBER(B4)),B4,IF(AND(ISBLANK(B4)),0,B4))</f>
        <v>0</v>
      </c>
      <c r="H4" s="297" t="s">
        <v>178</v>
      </c>
      <c r="I4" s="386"/>
      <c r="J4" s="387"/>
      <c r="K4" s="294" t="s">
        <v>177</v>
      </c>
      <c r="L4" s="385">
        <f>IF(AND(ISNUMBER(B4)),B4,IF(AND(ISBLANK(B4)),0,B4))</f>
        <v>0</v>
      </c>
      <c r="M4" s="297" t="s">
        <v>178</v>
      </c>
      <c r="N4" s="386"/>
    </row>
    <row r="5" spans="1:14" s="299" customFormat="1" ht="24.95" customHeight="1">
      <c r="A5" s="628" t="s">
        <v>179</v>
      </c>
      <c r="B5" s="625"/>
      <c r="C5" s="626" t="s">
        <v>180</v>
      </c>
      <c r="D5" s="627"/>
      <c r="F5" s="388" t="s">
        <v>179</v>
      </c>
      <c r="G5" s="385" t="str">
        <f t="shared" ref="G5:G16" si="0">IF(AND(ISNUMBER(B5)),B5,"")</f>
        <v/>
      </c>
      <c r="H5" s="389" t="s">
        <v>180</v>
      </c>
      <c r="I5" s="390"/>
      <c r="K5" s="388" t="s">
        <v>179</v>
      </c>
      <c r="L5" s="385" t="str">
        <f t="shared" ref="L5:L16" si="1">IF(AND(ISNUMBER(B5)),B5,"")</f>
        <v/>
      </c>
      <c r="M5" s="389" t="s">
        <v>180</v>
      </c>
      <c r="N5" s="390"/>
    </row>
    <row r="6" spans="1:14" s="299" customFormat="1" ht="24.95" customHeight="1">
      <c r="A6" s="624" t="s">
        <v>343</v>
      </c>
      <c r="B6" s="625"/>
      <c r="C6" s="626" t="s">
        <v>162</v>
      </c>
      <c r="D6" s="627"/>
      <c r="F6" s="295" t="s">
        <v>181</v>
      </c>
      <c r="G6" s="385" t="str">
        <f t="shared" si="0"/>
        <v/>
      </c>
      <c r="H6" s="297" t="s">
        <v>162</v>
      </c>
      <c r="I6" s="390"/>
      <c r="K6" s="295" t="s">
        <v>181</v>
      </c>
      <c r="L6" s="385" t="str">
        <f t="shared" si="1"/>
        <v/>
      </c>
      <c r="M6" s="297" t="s">
        <v>162</v>
      </c>
      <c r="N6" s="390"/>
    </row>
    <row r="7" spans="1:14" s="299" customFormat="1" ht="24.95" customHeight="1">
      <c r="A7" s="624" t="s">
        <v>344</v>
      </c>
      <c r="B7" s="625"/>
      <c r="C7" s="629"/>
      <c r="D7" s="627"/>
      <c r="F7" s="391" t="s">
        <v>182</v>
      </c>
      <c r="G7" s="385" t="str">
        <f t="shared" si="0"/>
        <v/>
      </c>
      <c r="H7" s="389"/>
      <c r="I7" s="390"/>
      <c r="K7" s="388" t="s">
        <v>182</v>
      </c>
      <c r="L7" s="385" t="str">
        <f t="shared" si="1"/>
        <v/>
      </c>
      <c r="M7" s="389"/>
      <c r="N7" s="390"/>
    </row>
    <row r="8" spans="1:14" s="299" customFormat="1" ht="24.95" customHeight="1">
      <c r="A8" s="624" t="s">
        <v>183</v>
      </c>
      <c r="B8" s="625"/>
      <c r="C8" s="626" t="s">
        <v>144</v>
      </c>
      <c r="D8" s="627"/>
      <c r="F8" s="388" t="s">
        <v>183</v>
      </c>
      <c r="G8" s="385" t="str">
        <f t="shared" si="0"/>
        <v/>
      </c>
      <c r="H8" s="297" t="s">
        <v>144</v>
      </c>
      <c r="I8" s="390"/>
      <c r="K8" s="388" t="s">
        <v>183</v>
      </c>
      <c r="L8" s="385" t="str">
        <f t="shared" si="1"/>
        <v/>
      </c>
      <c r="M8" s="297" t="s">
        <v>144</v>
      </c>
      <c r="N8" s="390"/>
    </row>
    <row r="9" spans="1:14" s="299" customFormat="1" ht="24.95" customHeight="1">
      <c r="A9" s="624" t="s">
        <v>184</v>
      </c>
      <c r="B9" s="625"/>
      <c r="C9" s="626" t="s">
        <v>144</v>
      </c>
      <c r="D9" s="627"/>
      <c r="F9" s="388" t="s">
        <v>184</v>
      </c>
      <c r="G9" s="385" t="str">
        <f>IF(AND(ISNUMBER(B9),(B9&gt;0)),B9,"")</f>
        <v/>
      </c>
      <c r="H9" s="389" t="s">
        <v>144</v>
      </c>
      <c r="I9" s="390"/>
      <c r="K9" s="388" t="s">
        <v>184</v>
      </c>
      <c r="L9" s="385" t="str">
        <f>IF(AND(ISNUMBER(B9),(B9&gt;0)),B9,"")</f>
        <v/>
      </c>
      <c r="M9" s="389" t="s">
        <v>144</v>
      </c>
      <c r="N9" s="390"/>
    </row>
    <row r="10" spans="1:14" s="299" customFormat="1" ht="24.95" customHeight="1">
      <c r="A10" s="630" t="s">
        <v>345</v>
      </c>
      <c r="B10" s="625"/>
      <c r="C10" s="629" t="s">
        <v>186</v>
      </c>
      <c r="D10" s="627"/>
      <c r="F10" s="388" t="s">
        <v>185</v>
      </c>
      <c r="G10" s="385" t="str">
        <f t="shared" si="0"/>
        <v/>
      </c>
      <c r="H10" s="389" t="s">
        <v>186</v>
      </c>
      <c r="I10" s="390"/>
      <c r="K10" s="388" t="s">
        <v>185</v>
      </c>
      <c r="L10" s="385" t="str">
        <f t="shared" si="1"/>
        <v/>
      </c>
      <c r="M10" s="389" t="s">
        <v>186</v>
      </c>
      <c r="N10" s="390"/>
    </row>
    <row r="11" spans="1:14" s="299" customFormat="1" ht="24.95" customHeight="1">
      <c r="A11" s="624" t="s">
        <v>346</v>
      </c>
      <c r="B11" s="625"/>
      <c r="C11" s="626" t="s">
        <v>162</v>
      </c>
      <c r="D11" s="631"/>
      <c r="F11" s="295" t="s">
        <v>187</v>
      </c>
      <c r="G11" s="385" t="str">
        <f t="shared" si="0"/>
        <v/>
      </c>
      <c r="H11" s="297" t="s">
        <v>162</v>
      </c>
      <c r="I11" s="392"/>
      <c r="J11" s="387"/>
      <c r="K11" s="294" t="s">
        <v>187</v>
      </c>
      <c r="L11" s="385" t="str">
        <f t="shared" si="1"/>
        <v/>
      </c>
      <c r="M11" s="297" t="s">
        <v>162</v>
      </c>
      <c r="N11" s="392"/>
    </row>
    <row r="12" spans="1:14" s="299" customFormat="1" ht="24.95" customHeight="1">
      <c r="A12" s="632" t="s">
        <v>347</v>
      </c>
      <c r="B12" s="625"/>
      <c r="C12" s="633" t="s">
        <v>162</v>
      </c>
      <c r="D12" s="627"/>
      <c r="F12" s="329" t="s">
        <v>188</v>
      </c>
      <c r="G12" s="385" t="str">
        <f t="shared" si="0"/>
        <v/>
      </c>
      <c r="H12" s="327" t="s">
        <v>162</v>
      </c>
      <c r="I12" s="393"/>
      <c r="K12" s="329" t="s">
        <v>188</v>
      </c>
      <c r="L12" s="385" t="str">
        <f t="shared" si="1"/>
        <v/>
      </c>
      <c r="M12" s="327" t="s">
        <v>162</v>
      </c>
      <c r="N12" s="393"/>
    </row>
    <row r="13" spans="1:14" s="299" customFormat="1" ht="24.95" customHeight="1">
      <c r="A13" s="632" t="s">
        <v>189</v>
      </c>
      <c r="B13" s="625"/>
      <c r="C13" s="633" t="s">
        <v>162</v>
      </c>
      <c r="D13" s="627"/>
      <c r="F13" s="329" t="s">
        <v>189</v>
      </c>
      <c r="G13" s="385" t="str">
        <f t="shared" si="0"/>
        <v/>
      </c>
      <c r="H13" s="327" t="s">
        <v>162</v>
      </c>
      <c r="I13" s="390"/>
      <c r="K13" s="329" t="s">
        <v>189</v>
      </c>
      <c r="L13" s="385" t="str">
        <f t="shared" si="1"/>
        <v/>
      </c>
      <c r="M13" s="327" t="s">
        <v>162</v>
      </c>
      <c r="N13" s="390"/>
    </row>
    <row r="14" spans="1:14" s="299" customFormat="1" ht="24.95" customHeight="1">
      <c r="A14" s="632" t="s">
        <v>190</v>
      </c>
      <c r="B14" s="625"/>
      <c r="C14" s="633" t="s">
        <v>162</v>
      </c>
      <c r="D14" s="627"/>
      <c r="F14" s="329" t="s">
        <v>190</v>
      </c>
      <c r="G14" s="385" t="str">
        <f t="shared" si="0"/>
        <v/>
      </c>
      <c r="H14" s="327" t="s">
        <v>162</v>
      </c>
      <c r="I14" s="390"/>
      <c r="K14" s="329" t="s">
        <v>190</v>
      </c>
      <c r="L14" s="385" t="str">
        <f t="shared" si="1"/>
        <v/>
      </c>
      <c r="M14" s="327" t="s">
        <v>162</v>
      </c>
      <c r="N14" s="390"/>
    </row>
    <row r="15" spans="1:14" s="299" customFormat="1" ht="24.95" customHeight="1">
      <c r="A15" s="634" t="s">
        <v>191</v>
      </c>
      <c r="B15" s="625"/>
      <c r="C15" s="635" t="s">
        <v>162</v>
      </c>
      <c r="D15" s="627"/>
      <c r="F15" s="307" t="s">
        <v>191</v>
      </c>
      <c r="G15" s="385">
        <f>IF(AND(ISNUMBER(B15),(B15&gt;=0)),B15,0)</f>
        <v>0</v>
      </c>
      <c r="H15" s="394" t="s">
        <v>162</v>
      </c>
      <c r="I15" s="386"/>
      <c r="J15" s="387"/>
      <c r="K15" s="395" t="s">
        <v>191</v>
      </c>
      <c r="L15" s="385">
        <f>IF(AND(ISNUMBER(B15),(B15&gt;=0)),B15,0)</f>
        <v>0</v>
      </c>
      <c r="M15" s="394" t="s">
        <v>162</v>
      </c>
      <c r="N15" s="390"/>
    </row>
    <row r="16" spans="1:14" s="299" customFormat="1" ht="24.95" customHeight="1">
      <c r="A16" s="624" t="s">
        <v>348</v>
      </c>
      <c r="B16" s="625"/>
      <c r="C16" s="636" t="s">
        <v>164</v>
      </c>
      <c r="D16" s="627"/>
      <c r="F16" s="295" t="s">
        <v>192</v>
      </c>
      <c r="G16" s="385" t="str">
        <f t="shared" si="0"/>
        <v/>
      </c>
      <c r="H16" s="396" t="s">
        <v>164</v>
      </c>
      <c r="I16" s="386"/>
      <c r="J16" s="387"/>
      <c r="K16" s="294" t="s">
        <v>192</v>
      </c>
      <c r="L16" s="385" t="str">
        <f t="shared" si="1"/>
        <v/>
      </c>
      <c r="M16" s="396" t="s">
        <v>164</v>
      </c>
      <c r="N16" s="386"/>
    </row>
    <row r="17" spans="1:14" s="299" customFormat="1" ht="24.95" customHeight="1">
      <c r="A17" s="624" t="s">
        <v>349</v>
      </c>
      <c r="B17" s="625"/>
      <c r="C17" s="637" t="s">
        <v>162</v>
      </c>
      <c r="D17" s="627"/>
      <c r="F17" s="318" t="s">
        <v>193</v>
      </c>
      <c r="G17" s="385">
        <f>IF(AND(ISNUMBER(B17),(B17&gt;=0)),B17,0)</f>
        <v>0</v>
      </c>
      <c r="H17" s="397" t="s">
        <v>162</v>
      </c>
      <c r="I17" s="398"/>
      <c r="K17" s="318" t="s">
        <v>193</v>
      </c>
      <c r="L17" s="385">
        <f>IF(AND(ISNUMBER(B17),(B17&gt;=0)),B17,0)</f>
        <v>0</v>
      </c>
      <c r="M17" s="397" t="s">
        <v>162</v>
      </c>
      <c r="N17" s="398"/>
    </row>
    <row r="18" spans="1:14" s="299" customFormat="1" ht="12.75">
      <c r="A18" s="630"/>
      <c r="B18" s="638"/>
      <c r="C18" s="636"/>
      <c r="D18" s="639"/>
    </row>
    <row r="19" spans="1:14" s="299" customFormat="1" ht="12.75">
      <c r="A19" s="630"/>
      <c r="B19" s="638"/>
      <c r="C19" s="640"/>
      <c r="D19" s="641"/>
    </row>
    <row r="20" spans="1:14" s="293" customFormat="1" ht="14.25" customHeight="1">
      <c r="A20" s="642"/>
      <c r="B20" s="615"/>
      <c r="C20" s="643"/>
      <c r="D20" s="615"/>
    </row>
    <row r="21" spans="1:14" s="293" customFormat="1" ht="24.75" customHeight="1">
      <c r="A21" s="644" t="s">
        <v>159</v>
      </c>
      <c r="B21" s="645" t="s">
        <v>23</v>
      </c>
      <c r="C21" s="646"/>
      <c r="D21" s="615"/>
      <c r="F21" s="964" t="s">
        <v>160</v>
      </c>
      <c r="G21" s="938"/>
      <c r="H21" s="939"/>
      <c r="K21" s="964" t="s">
        <v>161</v>
      </c>
      <c r="L21" s="938"/>
      <c r="M21" s="939"/>
    </row>
    <row r="22" spans="1:14" s="293" customFormat="1" ht="24.75" customHeight="1">
      <c r="A22" s="632" t="s">
        <v>350</v>
      </c>
      <c r="B22" s="647" t="str">
        <f>IF(AND(ISTEXT(Punktevergabe!E5),(Punktevergabe!E5="Neubau")),G22,L22)</f>
        <v/>
      </c>
      <c r="C22" s="633"/>
      <c r="D22" s="615"/>
      <c r="F22" s="329" t="s">
        <v>194</v>
      </c>
      <c r="G22" s="330" t="str">
        <f>IF(AND(ISNUMBER(G5),ISNUMBER(G7),ISNUMBER(G8),ISNUMBER(G9),ISNUMBER(G10)),ROUND(300*G10/((G8+G9)*(2+G5/(G8+G9))),1),G7)</f>
        <v/>
      </c>
      <c r="H22" s="327"/>
      <c r="K22" s="329" t="s">
        <v>194</v>
      </c>
      <c r="L22" s="330" t="str">
        <f>IF(AND(ISNUMBER(L5),ISNUMBER(L7),ISNUMBER(L8),ISNUMBER(L9),ISNUMBER(L10)),ROUND(300*L10/((L8+L9)*(2+L5/(L8+L9))),1),L7)</f>
        <v/>
      </c>
      <c r="M22" s="327"/>
    </row>
    <row r="23" spans="1:14" s="299" customFormat="1" ht="24.95" customHeight="1">
      <c r="A23" s="632" t="s">
        <v>150</v>
      </c>
      <c r="B23" s="647" t="b">
        <f>IF(AND(ISTEXT(Punktevergabe!E5),(Punktevergabe!E5="Neubau")),G23,L23)</f>
        <v>0</v>
      </c>
      <c r="C23" s="633" t="s">
        <v>162</v>
      </c>
      <c r="D23" s="648"/>
      <c r="F23" s="329" t="s">
        <v>150</v>
      </c>
      <c r="G23" s="326" t="b">
        <f>IF(AND(ISNUMBER(G12),ISNUMBER(G13),ISNUMBER(G14),ISNUMBER(G15),ISNUMBER(G17)),IF(G15&lt;&gt;0,G12-(G13*1.91)-(G14-G15)*(1.91)-(G17*1),IF(G15=0,G12-(G13*1.91)-(0-G15)*(1.91)-(G17*1),G12)))</f>
        <v>0</v>
      </c>
      <c r="H23" s="327" t="s">
        <v>162</v>
      </c>
      <c r="K23" s="329" t="s">
        <v>150</v>
      </c>
      <c r="L23" s="326" t="b">
        <f>IF(AND(ISNUMBER(L12),ISNUMBER(L13),ISNUMBER(L14),ISNUMBER(L15),ISNUMBER(L17)),IF(L15&lt;&gt;0,L12-(L13*1.91)-(L14-L15)*(1.91)-(L17*1),IF(L15=0,L12-(L13*1.91)-(0-L15)*(1.91)-(L17*1),L12)))</f>
        <v>0</v>
      </c>
      <c r="M23" s="327" t="s">
        <v>162</v>
      </c>
    </row>
    <row r="24" spans="1:14" s="299" customFormat="1" ht="24.95" customHeight="1">
      <c r="A24" s="632" t="s">
        <v>351</v>
      </c>
      <c r="B24" s="647" t="b">
        <f>IF(AND(ISTEXT(Punktevergabe!E5),(Punktevergabe!E5="Neubau")),G24,L24)</f>
        <v>0</v>
      </c>
      <c r="C24" s="626" t="s">
        <v>352</v>
      </c>
      <c r="D24" s="648"/>
      <c r="F24" s="329" t="s">
        <v>153</v>
      </c>
      <c r="G24" s="326" t="b">
        <f>IF(AND(ISNUMBER(G13),ISNUMBER(G14),ISNUMBER(G15),ISNUMBER(G16),ISNUMBER(G17)),IF(G15&lt;&gt;0,G16-G13*0.276-(G14-G15)*0.276-(G17*0.276),IF(G15=0,G16-G13*0.276-(0-G15)*0.276-(G17*0.276),G16)))</f>
        <v>0</v>
      </c>
      <c r="H24" s="297" t="s">
        <v>164</v>
      </c>
      <c r="K24" s="329" t="s">
        <v>153</v>
      </c>
      <c r="L24" s="326" t="b">
        <f>IF(AND(ISNUMBER(L13),ISNUMBER(L14),ISNUMBER(L15),ISNUMBER(L16),ISNUMBER(L17)),IF(L15&lt;&gt;0,L16-L13*0.276-(L14-L15)*0.276-(L17*0.276),IF(L15=0,L16-L13*0.276-(0-L15)*0.276-(L17*0.276),L16)))</f>
        <v>0</v>
      </c>
      <c r="M24" s="297" t="s">
        <v>164</v>
      </c>
    </row>
    <row r="25" spans="1:14" s="399" customFormat="1" ht="24.95" customHeight="1">
      <c r="A25" s="649" t="s">
        <v>353</v>
      </c>
      <c r="B25" s="650" t="str">
        <f>IF(AND(ISTEXT(Punktevergabe!E5),(Punktevergabe!E5="Neubau")),G25,L25)</f>
        <v>0</v>
      </c>
      <c r="C25" s="651"/>
      <c r="D25" s="648"/>
      <c r="F25" s="401" t="s">
        <v>195</v>
      </c>
      <c r="G25" s="402" t="str">
        <f>IF(G6&lt;10,75,IF(G6&gt;35,"0",IF(H25&gt;0,H25,0)))</f>
        <v>0</v>
      </c>
      <c r="H25" s="400" t="e">
        <f>IF(G4&lt;0.2,ROUND(((0-75)/(22.4+((35-22.4)/(0.5-0.2))*(0.2-0.2)-10))*(G6-(22.4+((35-22.4)/(0.5-0.2))*(0.2-0.2))),0),IF(G4&gt;0.5,ROUND(((0-75)/(22.4+((35-22.4)/(0.5-0.2))*(0.5-0.2)-10))*(G6-(22.4+((35-22.4)/(0.5-0.2))*(0.5-0.2))),0), ROUND(((0-75)/(22.4+((35-22.4)/(0.5-0.2))*(G4-0.2)-10))*(G6-(22.4+((35-22.4)/(0.5-0.2))*(G4-0.2))),0)))</f>
        <v>#VALUE!</v>
      </c>
      <c r="K25" s="401" t="s">
        <v>195</v>
      </c>
      <c r="L25" s="402" t="str">
        <f>IF(L6&lt;15,75,IF(L6&gt;42,"0",IF(M25&gt;0,M25,0)))</f>
        <v>0</v>
      </c>
      <c r="M25" s="400" t="e">
        <f>IF(L4&lt;0.2,ROUND(((0-75)/(27+((42-27)/(0.5-0.2))*(0.2-0.2)-15))*(L6-(27+((42-27)/(0.5-0.2))*(0.2-0.2))),0),IF(L4&gt;0.5,ROUND(((0-75)/(27+((42-27)/(0.5-0.2))*(0.5-0.2)-15))*(L6-(27+((42-27)/(0.5-0.2))*(0.5-0.2))),0), ROUND(((0-75)/(27+((42-27)/(0.5-0.2))*(L4-0.2)-15))*(L6-(27+((42-27)/(0.5-0.2))*(L4-0.2))),0)))</f>
        <v>#VALUE!</v>
      </c>
    </row>
    <row r="26" spans="1:14" s="399" customFormat="1" ht="24.95" customHeight="1">
      <c r="A26" s="652" t="s">
        <v>354</v>
      </c>
      <c r="B26" s="653" t="str">
        <f>IF(AND(ISTEXT(Punktevergabe!E5),(Punktevergabe!E5="Neubau")),G26,L26)</f>
        <v>0</v>
      </c>
      <c r="C26" s="654"/>
      <c r="D26" s="655"/>
      <c r="F26" s="335" t="s">
        <v>196</v>
      </c>
      <c r="G26" s="402" t="str">
        <f>IF(ISNUMBER(G22),IF(G22&lt;=15,75,IF(AND(G22&lt;=25,G22&gt;15),ROUND(0+(75/-10)*(G22-25),0),"0")),"0")</f>
        <v>0</v>
      </c>
      <c r="H26" s="403"/>
      <c r="K26" s="335" t="s">
        <v>196</v>
      </c>
      <c r="L26" s="402" t="str">
        <f>IF(ISNUMBER(L22),IF(L22&lt;=17,75,IF(AND(L22&lt;=30,L22&gt;17),ROUND(0+(75/-13)*(L22-30),0),"0")),"0")</f>
        <v>0</v>
      </c>
      <c r="M26" s="403"/>
    </row>
    <row r="27" spans="1:14" s="399" customFormat="1" ht="24.95" customHeight="1">
      <c r="A27" s="649" t="s">
        <v>355</v>
      </c>
      <c r="B27" s="656" t="str">
        <f>IF(AND(ISTEXT(Punktevergabe!E5),(Punktevergabe!E5="Neubau")),G27,L27)</f>
        <v>0</v>
      </c>
      <c r="C27" s="654"/>
      <c r="D27" s="655"/>
      <c r="F27" s="401" t="s">
        <v>197</v>
      </c>
      <c r="G27" s="404" t="str">
        <f>IF(ISNUMBER(G11),IF(G11&lt;=20,50,IF(AND(G11&lt;=50,G11&gt;20),ROUND(0+(50/-30)*(G11-50),0),"")),"0")</f>
        <v>0</v>
      </c>
      <c r="H27" s="403"/>
      <c r="K27" s="401" t="s">
        <v>197</v>
      </c>
      <c r="L27" s="404" t="str">
        <f>IF(ISNUMBER(L11),IF(L11&lt;=20,50,IF(AND(L11&lt;=50,L11&gt;20),ROUND(0+(50/-30)*(L11-50),0),"0")),"0")</f>
        <v>0</v>
      </c>
      <c r="M27" s="403"/>
    </row>
    <row r="28" spans="1:14" ht="24.95" customHeight="1">
      <c r="A28" s="652" t="s">
        <v>356</v>
      </c>
      <c r="B28" s="653" t="str">
        <f>IF(AND(ISTEXT(Punktevergabe!E5),(Punktevergabe!E5="Neubau")),G28,L28)</f>
        <v>0</v>
      </c>
      <c r="C28" s="640"/>
      <c r="D28" s="657"/>
      <c r="F28" s="335" t="s">
        <v>198</v>
      </c>
      <c r="G28" s="404" t="str">
        <f>IF(ISNUMBER(G23),IF(G23&lt;=50,135,IF(AND(G23&lt;=130,G23&gt;50),ROUND(0+(135/-80)*(G23-130),0),"0")),"0")</f>
        <v>0</v>
      </c>
      <c r="H28" s="334"/>
      <c r="K28" s="335" t="s">
        <v>198</v>
      </c>
      <c r="L28" s="404" t="str">
        <f>IF(ISNUMBER(L23),IF(L23&lt;=50,135,IF(AND(L23&lt;=170,L23&gt;50),ROUND(0+(135/-120)*(L23-170),0),"0")),"0")</f>
        <v>0</v>
      </c>
      <c r="M28" s="334"/>
    </row>
    <row r="29" spans="1:14" ht="24.95" customHeight="1">
      <c r="A29" s="649" t="s">
        <v>357</v>
      </c>
      <c r="B29" s="650" t="str">
        <f>IF(AND(ISTEXT(Punktevergabe!E5),(Punktevergabe!E5="Neubau")),G29,L29)</f>
        <v>0</v>
      </c>
      <c r="C29" s="658"/>
      <c r="D29" s="657"/>
      <c r="F29" s="332" t="s">
        <v>199</v>
      </c>
      <c r="G29" s="402" t="str">
        <f>IF(ISNUMBER(G24),IF(G24&lt;=0,135,IF(AND(G24&lt;=25,G24&gt;0),ROUND(0+(135/-25)*(G24-25),0),"0")),"0")</f>
        <v>0</v>
      </c>
      <c r="H29" s="405"/>
      <c r="K29" s="332" t="s">
        <v>199</v>
      </c>
      <c r="L29" s="402" t="str">
        <f>IF(ISNUMBER(L24),IF(L24&lt;=0,135,IF(AND(L24&lt;=32,L24&gt;0),ROUND(0+(135/-32)*(L24-32),0),"0")),"0")</f>
        <v>0</v>
      </c>
      <c r="M29" s="405"/>
    </row>
  </sheetData>
  <mergeCells count="7">
    <mergeCell ref="A1:C1"/>
    <mergeCell ref="F3:H3"/>
    <mergeCell ref="K3:M3"/>
    <mergeCell ref="F21:H21"/>
    <mergeCell ref="K21:M21"/>
    <mergeCell ref="F1:H1"/>
    <mergeCell ref="K1:M1"/>
  </mergeCells>
  <dataValidations xWindow="566" yWindow="362" count="1">
    <dataValidation allowBlank="1" showInputMessage="1" showErrorMessage="1" prompt="Angabe entnehmen aus Ausdruck OIB- Energieausweis (Seite2)" sqref="B4:B17"/>
  </dataValidations>
  <pageMargins left="0.59055118110236238" right="0.59055118110236238" top="0.59055118110236238" bottom="0.59055118110236238" header="0.31496062992125984" footer="0.31496062992125984"/>
  <pageSetup paperSize="9" scale="77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>
    <pageSetUpPr fitToPage="1"/>
  </sheetPr>
  <dimension ref="A1:W300"/>
  <sheetViews>
    <sheetView workbookViewId="0">
      <selection activeCell="Z48" sqref="Z48"/>
    </sheetView>
  </sheetViews>
  <sheetFormatPr baseColWidth="10" defaultColWidth="11.42578125" defaultRowHeight="14.25"/>
  <cols>
    <col min="1" max="1" width="32.140625" style="406" bestFit="1" customWidth="1"/>
    <col min="2" max="2" width="42.7109375" style="406" bestFit="1" customWidth="1"/>
    <col min="3" max="3" width="11.42578125" style="406"/>
    <col min="4" max="6" width="30.7109375" style="406" customWidth="1"/>
    <col min="7" max="11" width="11.42578125" style="406"/>
    <col min="12" max="12" width="5.7109375" style="406" customWidth="1"/>
    <col min="13" max="14" width="20.7109375" style="406" customWidth="1"/>
    <col min="15" max="22" width="13.7109375" style="406" customWidth="1"/>
    <col min="23" max="16384" width="11.42578125" style="406"/>
  </cols>
  <sheetData>
    <row r="1" spans="1:23" ht="15">
      <c r="A1" s="407" t="s">
        <v>16</v>
      </c>
      <c r="B1" s="408"/>
      <c r="C1" s="409"/>
    </row>
    <row r="2" spans="1:23" ht="15">
      <c r="A2" s="410" t="s">
        <v>169</v>
      </c>
      <c r="B2" s="411"/>
      <c r="C2" s="409"/>
    </row>
    <row r="4" spans="1:23" ht="14.25" customHeight="1">
      <c r="A4" s="970" t="s">
        <v>16</v>
      </c>
      <c r="B4" s="971"/>
      <c r="C4" s="971"/>
      <c r="D4" s="971"/>
      <c r="E4" s="971"/>
      <c r="F4" s="971"/>
      <c r="G4" s="971"/>
      <c r="H4" s="971"/>
      <c r="I4" s="971"/>
      <c r="J4" s="971"/>
      <c r="K4" s="972"/>
      <c r="M4" s="981" t="s">
        <v>169</v>
      </c>
      <c r="N4" s="982"/>
      <c r="O4" s="982"/>
      <c r="P4" s="982"/>
      <c r="Q4" s="982"/>
      <c r="R4" s="982"/>
      <c r="S4" s="982"/>
      <c r="T4" s="982"/>
      <c r="U4" s="982"/>
      <c r="V4" s="982"/>
      <c r="W4" s="983"/>
    </row>
    <row r="5" spans="1:23" ht="15" customHeight="1">
      <c r="A5" s="973"/>
      <c r="B5" s="974"/>
      <c r="C5" s="974"/>
      <c r="D5" s="974"/>
      <c r="E5" s="974"/>
      <c r="F5" s="974"/>
      <c r="G5" s="974"/>
      <c r="H5" s="974"/>
      <c r="I5" s="974"/>
      <c r="J5" s="974"/>
      <c r="K5" s="975"/>
      <c r="M5" s="984"/>
      <c r="N5" s="985"/>
      <c r="O5" s="985"/>
      <c r="P5" s="985"/>
      <c r="Q5" s="985"/>
      <c r="R5" s="985"/>
      <c r="S5" s="985"/>
      <c r="T5" s="985"/>
      <c r="U5" s="985"/>
      <c r="V5" s="985"/>
      <c r="W5" s="986"/>
    </row>
    <row r="6" spans="1:23">
      <c r="A6" s="412"/>
      <c r="B6" s="412"/>
      <c r="C6" s="412"/>
      <c r="D6" s="412"/>
      <c r="E6" s="412"/>
      <c r="F6" s="412"/>
      <c r="G6" s="412"/>
      <c r="H6" s="412"/>
      <c r="I6" s="412"/>
      <c r="J6" s="412"/>
      <c r="K6" s="412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</row>
    <row r="7" spans="1:23">
      <c r="A7" s="412"/>
      <c r="B7" s="412"/>
      <c r="C7" s="412"/>
      <c r="D7" s="412"/>
      <c r="E7" s="412"/>
      <c r="F7" s="412"/>
      <c r="G7" s="412"/>
      <c r="H7" s="412"/>
      <c r="I7" s="412"/>
      <c r="J7" s="412"/>
      <c r="K7" s="412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</row>
    <row r="8" spans="1:23">
      <c r="A8" s="412"/>
      <c r="B8" s="412"/>
      <c r="C8" s="412"/>
      <c r="D8" s="412"/>
      <c r="E8" s="412"/>
      <c r="F8" s="412"/>
      <c r="G8" s="412"/>
      <c r="H8" s="412"/>
      <c r="I8" s="412"/>
      <c r="J8" s="412"/>
      <c r="K8" s="412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</row>
    <row r="9" spans="1:23">
      <c r="A9" s="412"/>
      <c r="B9" s="412"/>
      <c r="C9" s="412"/>
      <c r="D9" s="412"/>
      <c r="E9" s="412"/>
      <c r="F9" s="412"/>
      <c r="G9" s="412"/>
      <c r="H9" s="412"/>
      <c r="I9" s="412"/>
      <c r="J9" s="412"/>
      <c r="K9" s="412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</row>
    <row r="10" spans="1:23">
      <c r="A10" s="412"/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</row>
    <row r="11" spans="1:23">
      <c r="A11" s="412"/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M11" s="413"/>
      <c r="N11" s="413"/>
      <c r="O11" s="413"/>
      <c r="P11" s="413"/>
      <c r="Q11" s="413"/>
      <c r="R11" s="413"/>
      <c r="S11" s="413"/>
      <c r="T11" s="413"/>
      <c r="U11" s="413"/>
      <c r="V11" s="413"/>
      <c r="W11" s="413"/>
    </row>
    <row r="12" spans="1:23">
      <c r="A12" s="412"/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M12" s="413"/>
      <c r="N12" s="413"/>
      <c r="O12" s="413"/>
      <c r="P12" s="413"/>
      <c r="Q12" s="413"/>
      <c r="R12" s="413"/>
      <c r="S12" s="413"/>
      <c r="T12" s="413"/>
      <c r="U12" s="413"/>
      <c r="V12" s="413"/>
      <c r="W12" s="413"/>
    </row>
    <row r="13" spans="1:23">
      <c r="A13" s="412"/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</row>
    <row r="14" spans="1:23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</row>
    <row r="15" spans="1:23">
      <c r="A15" s="412"/>
      <c r="B15" s="412"/>
      <c r="C15" s="412"/>
      <c r="D15" s="412"/>
      <c r="E15" s="412"/>
      <c r="F15" s="412"/>
      <c r="G15" s="412"/>
      <c r="H15" s="412"/>
      <c r="I15" s="412"/>
      <c r="J15" s="412"/>
      <c r="K15" s="412"/>
      <c r="M15" s="413"/>
      <c r="N15" s="413"/>
      <c r="O15" s="413"/>
      <c r="P15" s="413"/>
      <c r="Q15" s="413"/>
      <c r="R15" s="413"/>
      <c r="S15" s="413"/>
      <c r="T15" s="413"/>
      <c r="U15" s="413"/>
      <c r="V15" s="413"/>
      <c r="W15" s="413"/>
    </row>
    <row r="16" spans="1:23">
      <c r="A16" s="412"/>
      <c r="B16" s="412"/>
      <c r="C16" s="412"/>
      <c r="D16" s="412"/>
      <c r="E16" s="412"/>
      <c r="F16" s="412"/>
      <c r="G16" s="412"/>
      <c r="H16" s="412"/>
      <c r="I16" s="412"/>
      <c r="J16" s="412"/>
      <c r="K16" s="412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</row>
    <row r="17" spans="1:23">
      <c r="A17" s="412"/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</row>
    <row r="18" spans="1:23">
      <c r="A18" s="412"/>
      <c r="B18" s="412"/>
      <c r="C18" s="412"/>
      <c r="D18" s="412"/>
      <c r="E18" s="412"/>
      <c r="F18" s="412"/>
      <c r="G18" s="412"/>
      <c r="H18" s="412"/>
      <c r="I18" s="412"/>
      <c r="J18" s="412"/>
      <c r="K18" s="412"/>
      <c r="M18" s="413"/>
      <c r="N18" s="413"/>
      <c r="O18" s="413"/>
      <c r="P18" s="413"/>
      <c r="Q18" s="413"/>
      <c r="R18" s="413"/>
      <c r="S18" s="413"/>
      <c r="T18" s="413"/>
      <c r="U18" s="413"/>
      <c r="V18" s="413"/>
      <c r="W18" s="413"/>
    </row>
    <row r="19" spans="1:23">
      <c r="A19" s="412"/>
      <c r="B19" s="412"/>
      <c r="C19" s="412"/>
      <c r="D19" s="412"/>
      <c r="E19" s="412"/>
      <c r="F19" s="412"/>
      <c r="G19" s="412"/>
      <c r="H19" s="412"/>
      <c r="I19" s="412"/>
      <c r="J19" s="412"/>
      <c r="K19" s="412"/>
      <c r="M19" s="413"/>
      <c r="N19" s="413"/>
      <c r="O19" s="413"/>
      <c r="P19" s="413"/>
      <c r="Q19" s="413"/>
      <c r="R19" s="413"/>
      <c r="S19" s="413"/>
      <c r="T19" s="413"/>
      <c r="U19" s="413"/>
      <c r="V19" s="413"/>
      <c r="W19" s="413"/>
    </row>
    <row r="20" spans="1:23">
      <c r="A20" s="412"/>
      <c r="B20" s="412"/>
      <c r="C20" s="412"/>
      <c r="D20" s="412"/>
      <c r="E20" s="412"/>
      <c r="F20" s="412"/>
      <c r="G20" s="412"/>
      <c r="H20" s="412"/>
      <c r="I20" s="412"/>
      <c r="J20" s="412"/>
      <c r="K20" s="412"/>
      <c r="M20" s="413"/>
      <c r="N20" s="413"/>
      <c r="O20" s="413"/>
      <c r="P20" s="413"/>
      <c r="Q20" s="413"/>
      <c r="R20" s="413"/>
      <c r="S20" s="413"/>
      <c r="T20" s="413"/>
      <c r="U20" s="413"/>
      <c r="V20" s="413"/>
      <c r="W20" s="413"/>
    </row>
    <row r="21" spans="1:23">
      <c r="A21" s="412"/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M21" s="413"/>
      <c r="N21" s="413"/>
      <c r="O21" s="413"/>
      <c r="P21" s="413"/>
      <c r="Q21" s="413"/>
      <c r="R21" s="413"/>
      <c r="S21" s="413"/>
      <c r="T21" s="413"/>
      <c r="U21" s="413"/>
      <c r="V21" s="413"/>
      <c r="W21" s="413"/>
    </row>
    <row r="22" spans="1:23">
      <c r="A22" s="412"/>
      <c r="B22" s="412"/>
      <c r="C22" s="412"/>
      <c r="D22" s="412"/>
      <c r="E22" s="412"/>
      <c r="F22" s="412"/>
      <c r="G22" s="412"/>
      <c r="H22" s="412"/>
      <c r="I22" s="412"/>
      <c r="J22" s="412"/>
      <c r="K22" s="412"/>
      <c r="M22" s="413"/>
      <c r="N22" s="413"/>
      <c r="O22" s="413"/>
      <c r="P22" s="413"/>
      <c r="Q22" s="413"/>
      <c r="R22" s="413"/>
      <c r="S22" s="413"/>
      <c r="T22" s="413"/>
      <c r="U22" s="413"/>
      <c r="V22" s="413"/>
      <c r="W22" s="413"/>
    </row>
    <row r="23" spans="1:23">
      <c r="A23" s="412"/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M23" s="413"/>
      <c r="N23" s="413"/>
      <c r="O23" s="413"/>
      <c r="P23" s="413"/>
      <c r="Q23" s="413"/>
      <c r="R23" s="413"/>
      <c r="S23" s="413"/>
      <c r="T23" s="413"/>
      <c r="U23" s="413"/>
      <c r="V23" s="413"/>
      <c r="W23" s="413"/>
    </row>
    <row r="24" spans="1:23">
      <c r="A24" s="412"/>
      <c r="B24" s="412"/>
      <c r="C24" s="412"/>
      <c r="D24" s="412"/>
      <c r="E24" s="412"/>
      <c r="F24" s="412"/>
      <c r="G24" s="412"/>
      <c r="H24" s="412"/>
      <c r="I24" s="412"/>
      <c r="J24" s="412"/>
      <c r="K24" s="412"/>
      <c r="M24" s="413"/>
      <c r="N24" s="413"/>
      <c r="O24" s="413"/>
      <c r="P24" s="413"/>
      <c r="Q24" s="413"/>
      <c r="R24" s="413"/>
      <c r="S24" s="413"/>
      <c r="T24" s="413"/>
      <c r="U24" s="413"/>
      <c r="V24" s="413"/>
      <c r="W24" s="413"/>
    </row>
    <row r="25" spans="1:23">
      <c r="A25" s="412"/>
      <c r="B25" s="412"/>
      <c r="C25" s="412"/>
      <c r="D25" s="412"/>
      <c r="E25" s="412"/>
      <c r="F25" s="412"/>
      <c r="G25" s="412"/>
      <c r="H25" s="412"/>
      <c r="I25" s="412"/>
      <c r="J25" s="412"/>
      <c r="K25" s="412"/>
      <c r="M25" s="413"/>
      <c r="N25" s="413"/>
      <c r="O25" s="413"/>
      <c r="P25" s="413"/>
      <c r="Q25" s="413"/>
      <c r="R25" s="413"/>
      <c r="S25" s="413"/>
      <c r="T25" s="413"/>
      <c r="U25" s="413"/>
      <c r="V25" s="413"/>
      <c r="W25" s="413"/>
    </row>
    <row r="26" spans="1:23">
      <c r="A26" s="412"/>
      <c r="B26" s="412"/>
      <c r="C26" s="412"/>
      <c r="D26" s="412"/>
      <c r="E26" s="412"/>
      <c r="F26" s="412"/>
      <c r="G26" s="412"/>
      <c r="H26" s="412"/>
      <c r="I26" s="412"/>
      <c r="J26" s="412"/>
      <c r="K26" s="412"/>
      <c r="M26" s="413"/>
      <c r="N26" s="413"/>
      <c r="O26" s="413"/>
      <c r="P26" s="413"/>
      <c r="Q26" s="413"/>
      <c r="R26" s="413"/>
      <c r="S26" s="413"/>
      <c r="T26" s="413"/>
      <c r="U26" s="413"/>
      <c r="V26" s="413"/>
      <c r="W26" s="413"/>
    </row>
    <row r="27" spans="1:23">
      <c r="A27" s="412"/>
      <c r="B27" s="412"/>
      <c r="C27" s="412"/>
      <c r="D27" s="412"/>
      <c r="E27" s="412"/>
      <c r="F27" s="412"/>
      <c r="G27" s="412"/>
      <c r="H27" s="412"/>
      <c r="I27" s="412"/>
      <c r="J27" s="412"/>
      <c r="K27" s="412"/>
      <c r="M27" s="413"/>
      <c r="N27" s="413"/>
      <c r="O27" s="413"/>
      <c r="P27" s="413"/>
      <c r="Q27" s="413"/>
      <c r="R27" s="413"/>
      <c r="S27" s="413"/>
      <c r="T27" s="413"/>
      <c r="U27" s="413"/>
      <c r="V27" s="413"/>
      <c r="W27" s="413"/>
    </row>
    <row r="28" spans="1:23">
      <c r="A28" s="412"/>
      <c r="B28" s="412"/>
      <c r="C28" s="412"/>
      <c r="D28" s="412"/>
      <c r="E28" s="412"/>
      <c r="F28" s="412"/>
      <c r="G28" s="412"/>
      <c r="H28" s="412"/>
      <c r="I28" s="412"/>
      <c r="J28" s="412"/>
      <c r="K28" s="412"/>
      <c r="M28" s="413"/>
      <c r="N28" s="413"/>
      <c r="O28" s="413"/>
      <c r="P28" s="413"/>
      <c r="Q28" s="413"/>
      <c r="R28" s="413"/>
      <c r="S28" s="413"/>
      <c r="T28" s="413"/>
      <c r="U28" s="413"/>
      <c r="V28" s="413"/>
      <c r="W28" s="413"/>
    </row>
    <row r="29" spans="1:23">
      <c r="A29" s="412"/>
      <c r="B29" s="412"/>
      <c r="C29" s="412"/>
      <c r="D29" s="412"/>
      <c r="E29" s="412"/>
      <c r="F29" s="412"/>
      <c r="G29" s="412"/>
      <c r="H29" s="412"/>
      <c r="I29" s="412"/>
      <c r="J29" s="412"/>
      <c r="K29" s="412"/>
      <c r="M29" s="413"/>
      <c r="N29" s="413"/>
      <c r="O29" s="413"/>
      <c r="P29" s="413"/>
      <c r="Q29" s="413"/>
      <c r="R29" s="413"/>
      <c r="S29" s="413"/>
      <c r="T29" s="413"/>
      <c r="U29" s="413"/>
      <c r="V29" s="413"/>
      <c r="W29" s="413"/>
    </row>
    <row r="30" spans="1:23">
      <c r="A30" s="412"/>
      <c r="B30" s="412"/>
      <c r="C30" s="412"/>
      <c r="D30" s="412"/>
      <c r="E30" s="412"/>
      <c r="F30" s="412"/>
      <c r="G30" s="412"/>
      <c r="H30" s="412"/>
      <c r="I30" s="412"/>
      <c r="J30" s="412"/>
      <c r="K30" s="412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</row>
    <row r="31" spans="1:23">
      <c r="A31" s="412"/>
      <c r="B31" s="412"/>
      <c r="C31" s="412"/>
      <c r="D31" s="412"/>
      <c r="E31" s="412"/>
      <c r="F31" s="412"/>
      <c r="G31" s="412"/>
      <c r="H31" s="412"/>
      <c r="I31" s="412"/>
      <c r="J31" s="412"/>
      <c r="K31" s="412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</row>
    <row r="32" spans="1:23">
      <c r="A32" s="412"/>
      <c r="B32" s="412"/>
      <c r="C32" s="412"/>
      <c r="D32" s="412"/>
      <c r="E32" s="412"/>
      <c r="F32" s="412"/>
      <c r="G32" s="412"/>
      <c r="H32" s="412"/>
      <c r="I32" s="412"/>
      <c r="J32" s="412"/>
      <c r="K32" s="412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</row>
    <row r="33" spans="1:23">
      <c r="A33" s="412"/>
      <c r="B33" s="412"/>
      <c r="C33" s="412"/>
      <c r="D33" s="412"/>
      <c r="E33" s="412"/>
      <c r="F33" s="412"/>
      <c r="G33" s="412"/>
      <c r="H33" s="412"/>
      <c r="I33" s="412"/>
      <c r="J33" s="412"/>
      <c r="K33" s="412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</row>
    <row r="34" spans="1:23">
      <c r="A34" s="412"/>
      <c r="B34" s="412"/>
      <c r="C34" s="412"/>
      <c r="D34" s="412"/>
      <c r="E34" s="412"/>
      <c r="F34" s="412"/>
      <c r="G34" s="412"/>
      <c r="H34" s="412"/>
      <c r="I34" s="412"/>
      <c r="J34" s="412"/>
      <c r="K34" s="412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</row>
    <row r="35" spans="1:23">
      <c r="A35" s="412"/>
      <c r="B35" s="412"/>
      <c r="C35" s="412"/>
      <c r="D35" s="412"/>
      <c r="E35" s="412"/>
      <c r="F35" s="412"/>
      <c r="G35" s="412"/>
      <c r="H35" s="412"/>
      <c r="I35" s="412"/>
      <c r="J35" s="412"/>
      <c r="K35" s="412"/>
      <c r="M35" s="413"/>
      <c r="N35" s="413"/>
      <c r="O35" s="413"/>
      <c r="P35" s="413"/>
      <c r="Q35" s="413"/>
      <c r="R35" s="413"/>
      <c r="S35" s="413"/>
      <c r="T35" s="413"/>
      <c r="U35" s="413"/>
      <c r="V35" s="413"/>
      <c r="W35" s="413"/>
    </row>
    <row r="36" spans="1:23">
      <c r="A36" s="412"/>
      <c r="B36" s="412"/>
      <c r="C36" s="412"/>
      <c r="D36" s="412"/>
      <c r="E36" s="412"/>
      <c r="F36" s="412"/>
      <c r="G36" s="412"/>
      <c r="H36" s="412"/>
      <c r="I36" s="412"/>
      <c r="J36" s="412"/>
      <c r="K36" s="412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</row>
    <row r="37" spans="1:23">
      <c r="A37" s="412"/>
      <c r="B37" s="412"/>
      <c r="C37" s="412"/>
      <c r="D37" s="412"/>
      <c r="E37" s="412"/>
      <c r="F37" s="412"/>
      <c r="G37" s="412"/>
      <c r="H37" s="412"/>
      <c r="I37" s="412"/>
      <c r="J37" s="412"/>
      <c r="K37" s="412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</row>
    <row r="38" spans="1:23">
      <c r="A38" s="412"/>
      <c r="B38" s="412"/>
      <c r="C38" s="412"/>
      <c r="D38" s="412"/>
      <c r="E38" s="412"/>
      <c r="F38" s="412"/>
      <c r="G38" s="412"/>
      <c r="H38" s="412"/>
      <c r="I38" s="412"/>
      <c r="J38" s="412"/>
      <c r="K38" s="412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</row>
    <row r="39" spans="1:23">
      <c r="A39" s="412"/>
      <c r="B39" s="412"/>
      <c r="C39" s="412"/>
      <c r="D39" s="412"/>
      <c r="E39" s="412"/>
      <c r="F39" s="412"/>
      <c r="G39" s="412"/>
      <c r="H39" s="412"/>
      <c r="I39" s="412"/>
      <c r="J39" s="412"/>
      <c r="K39" s="412"/>
      <c r="M39" s="413"/>
      <c r="N39" s="413"/>
      <c r="O39" s="413"/>
      <c r="P39" s="413"/>
      <c r="Q39" s="413"/>
      <c r="R39" s="413"/>
      <c r="S39" s="413"/>
      <c r="T39" s="413"/>
      <c r="U39" s="413"/>
      <c r="V39" s="413"/>
      <c r="W39" s="413"/>
    </row>
    <row r="40" spans="1:23">
      <c r="A40" s="412"/>
      <c r="B40" s="412"/>
      <c r="C40" s="412"/>
      <c r="D40" s="412"/>
      <c r="E40" s="412"/>
      <c r="F40" s="412"/>
      <c r="G40" s="412"/>
      <c r="H40" s="412"/>
      <c r="I40" s="412"/>
      <c r="J40" s="412"/>
      <c r="K40" s="412"/>
      <c r="M40" s="413"/>
      <c r="N40" s="413"/>
      <c r="O40" s="413"/>
      <c r="P40" s="413"/>
      <c r="Q40" s="413"/>
      <c r="R40" s="413"/>
      <c r="S40" s="413"/>
      <c r="T40" s="413"/>
      <c r="U40" s="413"/>
      <c r="V40" s="413"/>
      <c r="W40" s="413"/>
    </row>
    <row r="41" spans="1:23">
      <c r="A41" s="412"/>
      <c r="B41" s="412"/>
      <c r="C41" s="412"/>
      <c r="D41" s="412"/>
      <c r="E41" s="412"/>
      <c r="F41" s="412"/>
      <c r="G41" s="412"/>
      <c r="H41" s="412"/>
      <c r="I41" s="412"/>
      <c r="J41" s="412"/>
      <c r="K41" s="412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</row>
    <row r="42" spans="1:23">
      <c r="A42" s="412"/>
      <c r="B42" s="412"/>
      <c r="C42" s="412"/>
      <c r="D42" s="412"/>
      <c r="E42" s="412"/>
      <c r="F42" s="412"/>
      <c r="G42" s="412"/>
      <c r="H42" s="412"/>
      <c r="I42" s="412"/>
      <c r="J42" s="412"/>
      <c r="K42" s="412"/>
      <c r="M42" s="413"/>
      <c r="N42" s="413"/>
      <c r="O42" s="413"/>
      <c r="P42" s="413"/>
      <c r="Q42" s="413"/>
      <c r="R42" s="413"/>
      <c r="S42" s="413"/>
      <c r="T42" s="413"/>
      <c r="U42" s="413"/>
      <c r="V42" s="413"/>
      <c r="W42" s="413"/>
    </row>
    <row r="43" spans="1:23">
      <c r="A43" s="412"/>
      <c r="B43" s="412"/>
      <c r="C43" s="412"/>
      <c r="D43" s="412"/>
      <c r="E43" s="412"/>
      <c r="F43" s="412"/>
      <c r="G43" s="412"/>
      <c r="H43" s="412"/>
      <c r="I43" s="412"/>
      <c r="J43" s="412"/>
      <c r="K43" s="412"/>
      <c r="M43" s="413"/>
      <c r="N43" s="413"/>
      <c r="O43" s="413"/>
      <c r="P43" s="413"/>
      <c r="Q43" s="413"/>
      <c r="R43" s="413"/>
      <c r="S43" s="413"/>
      <c r="T43" s="413"/>
      <c r="U43" s="413"/>
      <c r="V43" s="413"/>
      <c r="W43" s="413"/>
    </row>
    <row r="44" spans="1:23">
      <c r="A44" s="412"/>
      <c r="B44" s="412"/>
      <c r="C44" s="412"/>
      <c r="D44" s="412"/>
      <c r="E44" s="412"/>
      <c r="F44" s="412"/>
      <c r="G44" s="412"/>
      <c r="H44" s="412"/>
      <c r="I44" s="412"/>
      <c r="J44" s="412"/>
      <c r="K44" s="412"/>
      <c r="M44" s="413"/>
      <c r="N44" s="413"/>
      <c r="O44" s="413"/>
      <c r="P44" s="413"/>
      <c r="Q44" s="413"/>
      <c r="R44" s="413"/>
      <c r="S44" s="413"/>
      <c r="T44" s="413"/>
      <c r="U44" s="413"/>
      <c r="V44" s="413"/>
      <c r="W44" s="413"/>
    </row>
    <row r="45" spans="1:23">
      <c r="A45" s="412"/>
      <c r="B45" s="412"/>
      <c r="C45" s="412"/>
      <c r="D45" s="412"/>
      <c r="E45" s="412"/>
      <c r="F45" s="412"/>
      <c r="G45" s="412"/>
      <c r="H45" s="412"/>
      <c r="I45" s="412"/>
      <c r="J45" s="412"/>
      <c r="K45" s="412"/>
      <c r="M45" s="413"/>
      <c r="N45" s="413"/>
      <c r="O45" s="413"/>
      <c r="P45" s="413"/>
      <c r="Q45" s="413"/>
      <c r="R45" s="413"/>
      <c r="S45" s="413"/>
      <c r="T45" s="413"/>
      <c r="U45" s="413"/>
      <c r="V45" s="413"/>
      <c r="W45" s="413"/>
    </row>
    <row r="46" spans="1:23">
      <c r="A46" s="412"/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M46" s="413"/>
      <c r="N46" s="413"/>
      <c r="O46" s="413"/>
      <c r="P46" s="413"/>
      <c r="Q46" s="413"/>
      <c r="R46" s="413"/>
      <c r="S46" s="413"/>
      <c r="T46" s="413"/>
      <c r="U46" s="413"/>
      <c r="V46" s="413"/>
      <c r="W46" s="413"/>
    </row>
    <row r="47" spans="1:23">
      <c r="A47" s="412"/>
      <c r="B47" s="412"/>
      <c r="C47" s="412"/>
      <c r="D47" s="412"/>
      <c r="E47" s="412"/>
      <c r="F47" s="412"/>
      <c r="G47" s="412"/>
      <c r="H47" s="412"/>
      <c r="I47" s="412"/>
      <c r="J47" s="412"/>
      <c r="K47" s="412"/>
      <c r="M47" s="413"/>
      <c r="N47" s="413"/>
      <c r="O47" s="413"/>
      <c r="P47" s="413"/>
      <c r="Q47" s="413"/>
      <c r="R47" s="413"/>
      <c r="S47" s="413"/>
      <c r="T47" s="413"/>
      <c r="U47" s="413"/>
      <c r="V47" s="413"/>
      <c r="W47" s="413"/>
    </row>
    <row r="48" spans="1:23">
      <c r="A48" s="412"/>
      <c r="B48" s="412"/>
      <c r="C48" s="412"/>
      <c r="D48" s="412"/>
      <c r="E48" s="412"/>
      <c r="F48" s="412"/>
      <c r="G48" s="412"/>
      <c r="H48" s="412"/>
      <c r="I48" s="412"/>
      <c r="J48" s="412"/>
      <c r="K48" s="412"/>
      <c r="M48" s="413"/>
      <c r="N48" s="413"/>
      <c r="O48" s="413"/>
      <c r="P48" s="413"/>
      <c r="Q48" s="413"/>
      <c r="R48" s="413"/>
      <c r="S48" s="413"/>
      <c r="T48" s="413"/>
      <c r="U48" s="413"/>
      <c r="V48" s="413"/>
      <c r="W48" s="413"/>
    </row>
    <row r="49" spans="1:23">
      <c r="A49" s="412"/>
      <c r="B49" s="412"/>
      <c r="C49" s="412"/>
      <c r="D49" s="412"/>
      <c r="E49" s="412"/>
      <c r="F49" s="412"/>
      <c r="G49" s="412"/>
      <c r="H49" s="412"/>
      <c r="I49" s="412"/>
      <c r="J49" s="412"/>
      <c r="K49" s="412"/>
      <c r="M49" s="413"/>
      <c r="N49" s="413"/>
      <c r="O49" s="413"/>
      <c r="P49" s="413"/>
      <c r="Q49" s="413"/>
      <c r="R49" s="413"/>
      <c r="S49" s="413"/>
      <c r="T49" s="413"/>
      <c r="U49" s="413"/>
      <c r="V49" s="413"/>
      <c r="W49" s="413"/>
    </row>
    <row r="50" spans="1:23">
      <c r="A50" s="412"/>
      <c r="B50" s="412"/>
      <c r="C50" s="412"/>
      <c r="D50" s="412"/>
      <c r="E50" s="412"/>
      <c r="F50" s="412"/>
      <c r="G50" s="412"/>
      <c r="H50" s="412"/>
      <c r="I50" s="412"/>
      <c r="J50" s="412"/>
      <c r="K50" s="412"/>
      <c r="M50" s="413"/>
      <c r="N50" s="413"/>
      <c r="O50" s="413"/>
      <c r="P50" s="413"/>
      <c r="Q50" s="413"/>
      <c r="R50" s="413"/>
      <c r="S50" s="413"/>
      <c r="T50" s="413"/>
      <c r="U50" s="413"/>
      <c r="V50" s="413"/>
      <c r="W50" s="413"/>
    </row>
    <row r="51" spans="1:23">
      <c r="A51" s="412"/>
      <c r="B51" s="412"/>
      <c r="C51" s="412"/>
      <c r="D51" s="412"/>
      <c r="E51" s="412"/>
      <c r="F51" s="412"/>
      <c r="G51" s="412"/>
      <c r="H51" s="412"/>
      <c r="I51" s="412"/>
      <c r="J51" s="412"/>
      <c r="K51" s="412"/>
      <c r="M51" s="413"/>
      <c r="N51" s="413"/>
      <c r="O51" s="413"/>
      <c r="P51" s="413"/>
      <c r="Q51" s="413"/>
      <c r="R51" s="413"/>
      <c r="S51" s="413"/>
      <c r="T51" s="413"/>
      <c r="U51" s="413"/>
      <c r="V51" s="413"/>
      <c r="W51" s="413"/>
    </row>
    <row r="52" spans="1:23">
      <c r="A52" s="412"/>
      <c r="B52" s="412"/>
      <c r="C52" s="412"/>
      <c r="D52" s="412"/>
      <c r="E52" s="412"/>
      <c r="F52" s="412"/>
      <c r="G52" s="412"/>
      <c r="H52" s="412"/>
      <c r="I52" s="412"/>
      <c r="J52" s="412"/>
      <c r="K52" s="412"/>
      <c r="M52" s="413"/>
      <c r="N52" s="413"/>
      <c r="O52" s="413"/>
      <c r="P52" s="413"/>
      <c r="Q52" s="413"/>
      <c r="R52" s="413"/>
      <c r="S52" s="413"/>
      <c r="T52" s="413"/>
      <c r="U52" s="413"/>
      <c r="V52" s="413"/>
      <c r="W52" s="413"/>
    </row>
    <row r="53" spans="1:23">
      <c r="A53" s="412"/>
      <c r="B53" s="412"/>
      <c r="C53" s="412"/>
      <c r="D53" s="412"/>
      <c r="E53" s="412"/>
      <c r="F53" s="412"/>
      <c r="G53" s="412"/>
      <c r="H53" s="412"/>
      <c r="I53" s="412"/>
      <c r="J53" s="412"/>
      <c r="K53" s="412"/>
      <c r="M53" s="413"/>
      <c r="N53" s="413"/>
      <c r="O53" s="413"/>
      <c r="P53" s="413"/>
      <c r="Q53" s="413"/>
      <c r="R53" s="413"/>
      <c r="S53" s="413"/>
      <c r="T53" s="413"/>
      <c r="U53" s="413"/>
      <c r="V53" s="413"/>
      <c r="W53" s="413"/>
    </row>
    <row r="54" spans="1:23">
      <c r="A54" s="412"/>
      <c r="B54" s="412"/>
      <c r="C54" s="412"/>
      <c r="D54" s="412"/>
      <c r="E54" s="412"/>
      <c r="F54" s="412"/>
      <c r="G54" s="412"/>
      <c r="H54" s="412"/>
      <c r="I54" s="412"/>
      <c r="J54" s="412"/>
      <c r="K54" s="412"/>
      <c r="M54" s="413"/>
      <c r="N54" s="413"/>
      <c r="O54" s="413"/>
      <c r="P54" s="413"/>
      <c r="Q54" s="413"/>
      <c r="R54" s="413"/>
      <c r="S54" s="413"/>
      <c r="T54" s="413"/>
      <c r="U54" s="413"/>
      <c r="V54" s="413"/>
      <c r="W54" s="413"/>
    </row>
    <row r="55" spans="1:23">
      <c r="A55" s="412"/>
      <c r="B55" s="412"/>
      <c r="C55" s="412"/>
      <c r="D55" s="412"/>
      <c r="E55" s="412"/>
      <c r="F55" s="412"/>
      <c r="G55" s="412"/>
      <c r="H55" s="412"/>
      <c r="I55" s="412"/>
      <c r="J55" s="412"/>
      <c r="K55" s="412"/>
      <c r="M55" s="413"/>
      <c r="N55" s="413"/>
      <c r="O55" s="413"/>
      <c r="P55" s="413"/>
      <c r="Q55" s="413"/>
      <c r="R55" s="413"/>
      <c r="S55" s="413"/>
      <c r="T55" s="413"/>
      <c r="U55" s="413"/>
      <c r="V55" s="413"/>
      <c r="W55" s="413"/>
    </row>
    <row r="56" spans="1:23" ht="15">
      <c r="A56" s="412"/>
      <c r="B56" s="412"/>
      <c r="C56" s="965" t="s">
        <v>200</v>
      </c>
      <c r="D56" s="966"/>
      <c r="E56" s="969" t="s">
        <v>201</v>
      </c>
      <c r="F56" s="966"/>
      <c r="G56" s="967" t="s">
        <v>200</v>
      </c>
      <c r="H56" s="968"/>
      <c r="I56" s="965" t="s">
        <v>201</v>
      </c>
      <c r="J56" s="966"/>
      <c r="K56" s="412"/>
      <c r="M56" s="413"/>
      <c r="N56" s="413"/>
      <c r="O56" s="413"/>
      <c r="P56" s="413"/>
      <c r="Q56" s="413"/>
      <c r="R56" s="413"/>
      <c r="S56" s="413"/>
      <c r="T56" s="413"/>
      <c r="U56" s="413"/>
      <c r="V56" s="413"/>
      <c r="W56" s="413"/>
    </row>
    <row r="57" spans="1:23" ht="18.75">
      <c r="A57" s="414" t="s">
        <v>202</v>
      </c>
      <c r="B57" s="415" t="s">
        <v>203</v>
      </c>
      <c r="C57" s="416" t="s">
        <v>171</v>
      </c>
      <c r="D57" s="417" t="s">
        <v>23</v>
      </c>
      <c r="E57" s="418" t="s">
        <v>171</v>
      </c>
      <c r="F57" s="417" t="s">
        <v>23</v>
      </c>
      <c r="G57" s="419" t="s">
        <v>204</v>
      </c>
      <c r="H57" s="420" t="s">
        <v>23</v>
      </c>
      <c r="I57" s="421" t="s">
        <v>172</v>
      </c>
      <c r="J57" s="422" t="s">
        <v>23</v>
      </c>
      <c r="K57" s="412"/>
      <c r="M57" s="423" t="s">
        <v>202</v>
      </c>
      <c r="N57" s="424" t="s">
        <v>203</v>
      </c>
      <c r="O57" s="976" t="s">
        <v>205</v>
      </c>
      <c r="P57" s="977"/>
      <c r="Q57" s="978" t="s">
        <v>206</v>
      </c>
      <c r="R57" s="979"/>
      <c r="S57" s="978" t="s">
        <v>207</v>
      </c>
      <c r="T57" s="980"/>
      <c r="U57" s="978" t="s">
        <v>208</v>
      </c>
      <c r="V57" s="979"/>
      <c r="W57" s="413"/>
    </row>
    <row r="58" spans="1:23" ht="18.75">
      <c r="A58" s="416">
        <v>0</v>
      </c>
      <c r="B58" s="417">
        <v>75</v>
      </c>
      <c r="C58" s="416">
        <v>0</v>
      </c>
      <c r="D58" s="417">
        <v>135</v>
      </c>
      <c r="E58" s="418">
        <v>0</v>
      </c>
      <c r="F58" s="417">
        <v>135</v>
      </c>
      <c r="G58" s="418">
        <v>0</v>
      </c>
      <c r="H58" s="425">
        <v>135</v>
      </c>
      <c r="I58" s="421">
        <v>0</v>
      </c>
      <c r="J58" s="422">
        <v>135</v>
      </c>
      <c r="K58" s="412"/>
      <c r="M58" s="426">
        <v>0</v>
      </c>
      <c r="N58" s="427">
        <v>75</v>
      </c>
      <c r="O58" s="426" t="s">
        <v>171</v>
      </c>
      <c r="P58" s="427" t="s">
        <v>23</v>
      </c>
      <c r="Q58" s="428" t="s">
        <v>171</v>
      </c>
      <c r="R58" s="429" t="s">
        <v>23</v>
      </c>
      <c r="S58" s="426" t="s">
        <v>172</v>
      </c>
      <c r="T58" s="430" t="s">
        <v>23</v>
      </c>
      <c r="U58" s="428" t="s">
        <v>172</v>
      </c>
      <c r="V58" s="429" t="s">
        <v>23</v>
      </c>
      <c r="W58" s="413"/>
    </row>
    <row r="59" spans="1:23">
      <c r="A59" s="416">
        <v>0.5</v>
      </c>
      <c r="B59" s="417">
        <v>75</v>
      </c>
      <c r="C59" s="416">
        <v>1</v>
      </c>
      <c r="D59" s="417">
        <v>135</v>
      </c>
      <c r="E59" s="418">
        <v>1</v>
      </c>
      <c r="F59" s="417">
        <v>135</v>
      </c>
      <c r="G59" s="418">
        <v>1</v>
      </c>
      <c r="H59" s="425">
        <v>135</v>
      </c>
      <c r="I59" s="421">
        <v>1</v>
      </c>
      <c r="J59" s="422">
        <f t="shared" ref="J59:J83" si="0">135+(0-135)/(25-0)*(I59-0)</f>
        <v>129.6</v>
      </c>
      <c r="K59" s="412"/>
      <c r="M59" s="426">
        <v>0.5</v>
      </c>
      <c r="N59" s="427">
        <v>75</v>
      </c>
      <c r="O59" s="426">
        <v>0</v>
      </c>
      <c r="P59" s="427">
        <v>145</v>
      </c>
      <c r="Q59" s="428">
        <v>0</v>
      </c>
      <c r="R59" s="429">
        <v>135</v>
      </c>
      <c r="S59" s="426">
        <v>0</v>
      </c>
      <c r="T59" s="430">
        <v>145</v>
      </c>
      <c r="U59" s="428">
        <v>0</v>
      </c>
      <c r="V59" s="431">
        <v>135</v>
      </c>
      <c r="W59" s="413"/>
    </row>
    <row r="60" spans="1:23">
      <c r="A60" s="416">
        <v>1</v>
      </c>
      <c r="B60" s="417">
        <v>75</v>
      </c>
      <c r="C60" s="416">
        <v>2</v>
      </c>
      <c r="D60" s="417">
        <v>135</v>
      </c>
      <c r="E60" s="418">
        <v>2</v>
      </c>
      <c r="F60" s="417">
        <v>135</v>
      </c>
      <c r="G60" s="418">
        <v>2</v>
      </c>
      <c r="H60" s="425">
        <v>135</v>
      </c>
      <c r="I60" s="421">
        <v>2</v>
      </c>
      <c r="J60" s="422">
        <f t="shared" si="0"/>
        <v>124.2</v>
      </c>
      <c r="K60" s="412"/>
      <c r="M60" s="426">
        <v>1</v>
      </c>
      <c r="N60" s="427">
        <v>75</v>
      </c>
      <c r="O60" s="426">
        <v>1</v>
      </c>
      <c r="P60" s="427">
        <v>145</v>
      </c>
      <c r="Q60" s="428">
        <v>1</v>
      </c>
      <c r="R60" s="429">
        <v>135</v>
      </c>
      <c r="S60" s="426">
        <v>1</v>
      </c>
      <c r="T60" s="430">
        <v>145</v>
      </c>
      <c r="U60" s="428">
        <v>1</v>
      </c>
      <c r="V60" s="431">
        <f t="shared" ref="V60:V91" si="1">135+(0-135)/(32-0)*(U60-0)</f>
        <v>130.78125</v>
      </c>
      <c r="W60" s="413"/>
    </row>
    <row r="61" spans="1:23">
      <c r="A61" s="416">
        <v>1.5</v>
      </c>
      <c r="B61" s="417">
        <v>75</v>
      </c>
      <c r="C61" s="416">
        <v>3</v>
      </c>
      <c r="D61" s="417">
        <v>135</v>
      </c>
      <c r="E61" s="418">
        <v>3</v>
      </c>
      <c r="F61" s="417">
        <v>135</v>
      </c>
      <c r="G61" s="418">
        <v>3</v>
      </c>
      <c r="H61" s="425">
        <v>135</v>
      </c>
      <c r="I61" s="421">
        <v>3</v>
      </c>
      <c r="J61" s="422">
        <f t="shared" si="0"/>
        <v>118.8</v>
      </c>
      <c r="K61" s="412"/>
      <c r="M61" s="426">
        <v>1.5</v>
      </c>
      <c r="N61" s="427">
        <v>75</v>
      </c>
      <c r="O61" s="426">
        <v>2</v>
      </c>
      <c r="P61" s="427">
        <v>145</v>
      </c>
      <c r="Q61" s="428">
        <v>2</v>
      </c>
      <c r="R61" s="429">
        <v>135</v>
      </c>
      <c r="S61" s="426">
        <v>2</v>
      </c>
      <c r="T61" s="430">
        <v>145</v>
      </c>
      <c r="U61" s="428">
        <v>2</v>
      </c>
      <c r="V61" s="431">
        <f t="shared" si="1"/>
        <v>126.5625</v>
      </c>
      <c r="W61" s="413"/>
    </row>
    <row r="62" spans="1:23">
      <c r="A62" s="416">
        <v>2</v>
      </c>
      <c r="B62" s="417">
        <v>75</v>
      </c>
      <c r="C62" s="416">
        <v>4</v>
      </c>
      <c r="D62" s="417">
        <v>135</v>
      </c>
      <c r="E62" s="418">
        <v>4</v>
      </c>
      <c r="F62" s="417">
        <v>135</v>
      </c>
      <c r="G62" s="418">
        <v>4</v>
      </c>
      <c r="H62" s="425">
        <v>135</v>
      </c>
      <c r="I62" s="421">
        <v>4</v>
      </c>
      <c r="J62" s="422">
        <f t="shared" si="0"/>
        <v>113.4</v>
      </c>
      <c r="K62" s="412"/>
      <c r="M62" s="426">
        <v>2</v>
      </c>
      <c r="N62" s="427">
        <v>75</v>
      </c>
      <c r="O62" s="426">
        <v>3</v>
      </c>
      <c r="P62" s="427">
        <v>145</v>
      </c>
      <c r="Q62" s="428">
        <v>3</v>
      </c>
      <c r="R62" s="429">
        <v>135</v>
      </c>
      <c r="S62" s="426">
        <v>3</v>
      </c>
      <c r="T62" s="430">
        <v>145</v>
      </c>
      <c r="U62" s="428">
        <v>3</v>
      </c>
      <c r="V62" s="431">
        <f t="shared" si="1"/>
        <v>122.34375</v>
      </c>
      <c r="W62" s="413"/>
    </row>
    <row r="63" spans="1:23">
      <c r="A63" s="416">
        <v>2.5</v>
      </c>
      <c r="B63" s="417">
        <v>75</v>
      </c>
      <c r="C63" s="416">
        <v>5</v>
      </c>
      <c r="D63" s="417">
        <v>135</v>
      </c>
      <c r="E63" s="418">
        <v>5</v>
      </c>
      <c r="F63" s="417">
        <v>135</v>
      </c>
      <c r="G63" s="418">
        <v>5</v>
      </c>
      <c r="H63" s="425">
        <v>135</v>
      </c>
      <c r="I63" s="421">
        <v>5</v>
      </c>
      <c r="J63" s="422">
        <f t="shared" si="0"/>
        <v>108</v>
      </c>
      <c r="K63" s="412"/>
      <c r="M63" s="426">
        <v>2.5</v>
      </c>
      <c r="N63" s="427">
        <v>75</v>
      </c>
      <c r="O63" s="426">
        <v>4</v>
      </c>
      <c r="P63" s="427">
        <v>145</v>
      </c>
      <c r="Q63" s="428">
        <v>4</v>
      </c>
      <c r="R63" s="429">
        <v>135</v>
      </c>
      <c r="S63" s="426">
        <v>4</v>
      </c>
      <c r="T63" s="430">
        <v>145</v>
      </c>
      <c r="U63" s="428">
        <v>4</v>
      </c>
      <c r="V63" s="431">
        <f t="shared" si="1"/>
        <v>118.125</v>
      </c>
      <c r="W63" s="413"/>
    </row>
    <row r="64" spans="1:23">
      <c r="A64" s="416">
        <v>3</v>
      </c>
      <c r="B64" s="417">
        <v>75</v>
      </c>
      <c r="C64" s="416">
        <v>6</v>
      </c>
      <c r="D64" s="417">
        <v>135</v>
      </c>
      <c r="E64" s="418">
        <v>6</v>
      </c>
      <c r="F64" s="417">
        <v>135</v>
      </c>
      <c r="G64" s="418">
        <v>6</v>
      </c>
      <c r="H64" s="425">
        <v>135</v>
      </c>
      <c r="I64" s="421">
        <v>6</v>
      </c>
      <c r="J64" s="422">
        <f t="shared" si="0"/>
        <v>102.6</v>
      </c>
      <c r="K64" s="412"/>
      <c r="M64" s="426">
        <v>3</v>
      </c>
      <c r="N64" s="427">
        <v>75</v>
      </c>
      <c r="O64" s="426">
        <v>5</v>
      </c>
      <c r="P64" s="427">
        <v>145</v>
      </c>
      <c r="Q64" s="428">
        <v>5</v>
      </c>
      <c r="R64" s="429">
        <v>135</v>
      </c>
      <c r="S64" s="426">
        <v>5</v>
      </c>
      <c r="T64" s="430">
        <v>145</v>
      </c>
      <c r="U64" s="428">
        <v>5</v>
      </c>
      <c r="V64" s="431">
        <f t="shared" si="1"/>
        <v>113.90625</v>
      </c>
      <c r="W64" s="413"/>
    </row>
    <row r="65" spans="1:23">
      <c r="A65" s="416">
        <v>3.5</v>
      </c>
      <c r="B65" s="417">
        <v>75</v>
      </c>
      <c r="C65" s="416">
        <v>7</v>
      </c>
      <c r="D65" s="417">
        <v>135</v>
      </c>
      <c r="E65" s="418">
        <v>7</v>
      </c>
      <c r="F65" s="417">
        <v>135</v>
      </c>
      <c r="G65" s="418">
        <v>7</v>
      </c>
      <c r="H65" s="425">
        <v>135</v>
      </c>
      <c r="I65" s="421">
        <v>7</v>
      </c>
      <c r="J65" s="422">
        <f t="shared" si="0"/>
        <v>97.199999999999989</v>
      </c>
      <c r="K65" s="412"/>
      <c r="M65" s="426">
        <v>3.5</v>
      </c>
      <c r="N65" s="427">
        <v>75</v>
      </c>
      <c r="O65" s="426">
        <v>6</v>
      </c>
      <c r="P65" s="427">
        <v>145</v>
      </c>
      <c r="Q65" s="428">
        <v>6</v>
      </c>
      <c r="R65" s="429">
        <v>135</v>
      </c>
      <c r="S65" s="426">
        <v>6</v>
      </c>
      <c r="T65" s="430">
        <v>145</v>
      </c>
      <c r="U65" s="428">
        <v>6</v>
      </c>
      <c r="V65" s="431">
        <f t="shared" si="1"/>
        <v>109.6875</v>
      </c>
      <c r="W65" s="413"/>
    </row>
    <row r="66" spans="1:23">
      <c r="A66" s="416">
        <v>4</v>
      </c>
      <c r="B66" s="417">
        <v>75</v>
      </c>
      <c r="C66" s="416">
        <v>8</v>
      </c>
      <c r="D66" s="417">
        <v>135</v>
      </c>
      <c r="E66" s="418">
        <v>8</v>
      </c>
      <c r="F66" s="417">
        <v>135</v>
      </c>
      <c r="G66" s="418">
        <v>8</v>
      </c>
      <c r="H66" s="425">
        <v>135</v>
      </c>
      <c r="I66" s="421">
        <v>8</v>
      </c>
      <c r="J66" s="422">
        <f t="shared" si="0"/>
        <v>91.8</v>
      </c>
      <c r="K66" s="412"/>
      <c r="M66" s="426">
        <v>4</v>
      </c>
      <c r="N66" s="427">
        <v>75</v>
      </c>
      <c r="O66" s="426">
        <v>7</v>
      </c>
      <c r="P66" s="427">
        <v>145</v>
      </c>
      <c r="Q66" s="428">
        <v>7</v>
      </c>
      <c r="R66" s="429">
        <v>135</v>
      </c>
      <c r="S66" s="426">
        <v>7</v>
      </c>
      <c r="T66" s="430">
        <v>145</v>
      </c>
      <c r="U66" s="428">
        <v>7</v>
      </c>
      <c r="V66" s="431">
        <f t="shared" si="1"/>
        <v>105.46875</v>
      </c>
      <c r="W66" s="413"/>
    </row>
    <row r="67" spans="1:23">
      <c r="A67" s="416">
        <v>4.5</v>
      </c>
      <c r="B67" s="417">
        <v>75</v>
      </c>
      <c r="C67" s="416">
        <v>9</v>
      </c>
      <c r="D67" s="417">
        <v>135</v>
      </c>
      <c r="E67" s="418">
        <v>9</v>
      </c>
      <c r="F67" s="417">
        <v>135</v>
      </c>
      <c r="G67" s="418">
        <v>9</v>
      </c>
      <c r="H67" s="425">
        <v>135</v>
      </c>
      <c r="I67" s="421">
        <v>9</v>
      </c>
      <c r="J67" s="422">
        <f t="shared" si="0"/>
        <v>86.4</v>
      </c>
      <c r="K67" s="412"/>
      <c r="M67" s="426">
        <v>4.5</v>
      </c>
      <c r="N67" s="427">
        <v>75</v>
      </c>
      <c r="O67" s="426">
        <v>8</v>
      </c>
      <c r="P67" s="427">
        <v>145</v>
      </c>
      <c r="Q67" s="428">
        <v>8</v>
      </c>
      <c r="R67" s="429">
        <v>135</v>
      </c>
      <c r="S67" s="426">
        <v>8</v>
      </c>
      <c r="T67" s="430">
        <v>145</v>
      </c>
      <c r="U67" s="428">
        <v>8</v>
      </c>
      <c r="V67" s="431">
        <f t="shared" si="1"/>
        <v>101.25</v>
      </c>
      <c r="W67" s="413"/>
    </row>
    <row r="68" spans="1:23">
      <c r="A68" s="416">
        <v>5</v>
      </c>
      <c r="B68" s="417">
        <v>75</v>
      </c>
      <c r="C68" s="416">
        <v>10</v>
      </c>
      <c r="D68" s="417">
        <v>135</v>
      </c>
      <c r="E68" s="418">
        <v>10</v>
      </c>
      <c r="F68" s="417">
        <v>135</v>
      </c>
      <c r="G68" s="418">
        <v>10</v>
      </c>
      <c r="H68" s="425">
        <f t="shared" ref="H68:H98" si="2">135+(0-135)/(40-10)*(G68-10)</f>
        <v>135</v>
      </c>
      <c r="I68" s="421">
        <v>10</v>
      </c>
      <c r="J68" s="422">
        <f t="shared" si="0"/>
        <v>81</v>
      </c>
      <c r="K68" s="412"/>
      <c r="M68" s="426">
        <v>5</v>
      </c>
      <c r="N68" s="427">
        <v>75</v>
      </c>
      <c r="O68" s="426">
        <v>9</v>
      </c>
      <c r="P68" s="427">
        <v>145</v>
      </c>
      <c r="Q68" s="428">
        <v>9</v>
      </c>
      <c r="R68" s="429">
        <v>135</v>
      </c>
      <c r="S68" s="426">
        <v>9</v>
      </c>
      <c r="T68" s="430">
        <v>145</v>
      </c>
      <c r="U68" s="428">
        <v>9</v>
      </c>
      <c r="V68" s="431">
        <f t="shared" si="1"/>
        <v>97.03125</v>
      </c>
      <c r="W68" s="413"/>
    </row>
    <row r="69" spans="1:23">
      <c r="A69" s="416">
        <v>5.5</v>
      </c>
      <c r="B69" s="417">
        <v>75</v>
      </c>
      <c r="C69" s="416">
        <v>11</v>
      </c>
      <c r="D69" s="417">
        <v>135</v>
      </c>
      <c r="E69" s="418">
        <v>11</v>
      </c>
      <c r="F69" s="417">
        <v>135</v>
      </c>
      <c r="G69" s="418">
        <v>11</v>
      </c>
      <c r="H69" s="425">
        <f t="shared" si="2"/>
        <v>130.5</v>
      </c>
      <c r="I69" s="421">
        <v>11</v>
      </c>
      <c r="J69" s="422">
        <f t="shared" si="0"/>
        <v>75.599999999999994</v>
      </c>
      <c r="K69" s="412"/>
      <c r="M69" s="426">
        <v>5.5</v>
      </c>
      <c r="N69" s="427">
        <v>75</v>
      </c>
      <c r="O69" s="426">
        <v>10</v>
      </c>
      <c r="P69" s="427">
        <v>145</v>
      </c>
      <c r="Q69" s="428">
        <v>10</v>
      </c>
      <c r="R69" s="429">
        <v>135</v>
      </c>
      <c r="S69" s="426">
        <v>10</v>
      </c>
      <c r="T69" s="430">
        <v>145</v>
      </c>
      <c r="U69" s="428">
        <v>10</v>
      </c>
      <c r="V69" s="431">
        <f t="shared" si="1"/>
        <v>92.8125</v>
      </c>
      <c r="W69" s="413"/>
    </row>
    <row r="70" spans="1:23">
      <c r="A70" s="416">
        <v>6</v>
      </c>
      <c r="B70" s="417">
        <v>75</v>
      </c>
      <c r="C70" s="416">
        <v>12</v>
      </c>
      <c r="D70" s="417">
        <v>135</v>
      </c>
      <c r="E70" s="418">
        <v>12</v>
      </c>
      <c r="F70" s="417">
        <v>135</v>
      </c>
      <c r="G70" s="418">
        <v>12</v>
      </c>
      <c r="H70" s="425">
        <f t="shared" si="2"/>
        <v>126</v>
      </c>
      <c r="I70" s="421">
        <v>12</v>
      </c>
      <c r="J70" s="422">
        <f t="shared" si="0"/>
        <v>70.199999999999989</v>
      </c>
      <c r="K70" s="412"/>
      <c r="M70" s="426">
        <v>6</v>
      </c>
      <c r="N70" s="427">
        <v>75</v>
      </c>
      <c r="O70" s="426">
        <v>11</v>
      </c>
      <c r="P70" s="427">
        <v>145</v>
      </c>
      <c r="Q70" s="428">
        <v>11</v>
      </c>
      <c r="R70" s="429">
        <v>135</v>
      </c>
      <c r="S70" s="426">
        <v>11</v>
      </c>
      <c r="T70" s="430">
        <v>145</v>
      </c>
      <c r="U70" s="428">
        <v>11</v>
      </c>
      <c r="V70" s="431">
        <f t="shared" si="1"/>
        <v>88.59375</v>
      </c>
      <c r="W70" s="413"/>
    </row>
    <row r="71" spans="1:23">
      <c r="A71" s="416">
        <v>6.5</v>
      </c>
      <c r="B71" s="417">
        <v>75</v>
      </c>
      <c r="C71" s="416">
        <v>13</v>
      </c>
      <c r="D71" s="417">
        <v>135</v>
      </c>
      <c r="E71" s="418">
        <v>13</v>
      </c>
      <c r="F71" s="417">
        <v>135</v>
      </c>
      <c r="G71" s="418">
        <v>13</v>
      </c>
      <c r="H71" s="425">
        <f t="shared" si="2"/>
        <v>121.5</v>
      </c>
      <c r="I71" s="421">
        <v>13</v>
      </c>
      <c r="J71" s="422">
        <f t="shared" si="0"/>
        <v>64.8</v>
      </c>
      <c r="K71" s="412"/>
      <c r="M71" s="426">
        <v>6.5</v>
      </c>
      <c r="N71" s="427">
        <v>75</v>
      </c>
      <c r="O71" s="426">
        <v>12</v>
      </c>
      <c r="P71" s="427">
        <v>145</v>
      </c>
      <c r="Q71" s="428">
        <v>12</v>
      </c>
      <c r="R71" s="429">
        <v>135</v>
      </c>
      <c r="S71" s="426">
        <v>12</v>
      </c>
      <c r="T71" s="430">
        <v>145</v>
      </c>
      <c r="U71" s="428">
        <v>12</v>
      </c>
      <c r="V71" s="431">
        <f t="shared" si="1"/>
        <v>84.375</v>
      </c>
      <c r="W71" s="413"/>
    </row>
    <row r="72" spans="1:23">
      <c r="A72" s="416">
        <v>7</v>
      </c>
      <c r="B72" s="417">
        <v>75</v>
      </c>
      <c r="C72" s="416">
        <v>14</v>
      </c>
      <c r="D72" s="417">
        <v>135</v>
      </c>
      <c r="E72" s="418">
        <v>14</v>
      </c>
      <c r="F72" s="417">
        <v>135</v>
      </c>
      <c r="G72" s="418">
        <v>14</v>
      </c>
      <c r="H72" s="425">
        <f t="shared" si="2"/>
        <v>117</v>
      </c>
      <c r="I72" s="421">
        <v>14</v>
      </c>
      <c r="J72" s="422">
        <f t="shared" si="0"/>
        <v>59.399999999999991</v>
      </c>
      <c r="K72" s="412"/>
      <c r="M72" s="426">
        <v>7</v>
      </c>
      <c r="N72" s="427">
        <v>75</v>
      </c>
      <c r="O72" s="426">
        <v>13</v>
      </c>
      <c r="P72" s="427">
        <v>145</v>
      </c>
      <c r="Q72" s="428">
        <v>13</v>
      </c>
      <c r="R72" s="429">
        <v>135</v>
      </c>
      <c r="S72" s="426">
        <v>13</v>
      </c>
      <c r="T72" s="430">
        <v>145</v>
      </c>
      <c r="U72" s="428">
        <v>13</v>
      </c>
      <c r="V72" s="431">
        <f t="shared" si="1"/>
        <v>80.15625</v>
      </c>
      <c r="W72" s="413"/>
    </row>
    <row r="73" spans="1:23">
      <c r="A73" s="416">
        <v>7.5</v>
      </c>
      <c r="B73" s="417">
        <v>75</v>
      </c>
      <c r="C73" s="416">
        <v>15</v>
      </c>
      <c r="D73" s="417">
        <v>135</v>
      </c>
      <c r="E73" s="418">
        <v>15</v>
      </c>
      <c r="F73" s="417">
        <v>135</v>
      </c>
      <c r="G73" s="418">
        <v>15</v>
      </c>
      <c r="H73" s="425">
        <f t="shared" si="2"/>
        <v>112.5</v>
      </c>
      <c r="I73" s="421">
        <v>15</v>
      </c>
      <c r="J73" s="422">
        <f t="shared" si="0"/>
        <v>54</v>
      </c>
      <c r="K73" s="412"/>
      <c r="M73" s="426">
        <v>7.5</v>
      </c>
      <c r="N73" s="427">
        <v>75</v>
      </c>
      <c r="O73" s="426">
        <v>14</v>
      </c>
      <c r="P73" s="427">
        <v>145</v>
      </c>
      <c r="Q73" s="428">
        <v>14</v>
      </c>
      <c r="R73" s="429">
        <v>135</v>
      </c>
      <c r="S73" s="426">
        <v>14</v>
      </c>
      <c r="T73" s="430">
        <v>145</v>
      </c>
      <c r="U73" s="428">
        <v>14</v>
      </c>
      <c r="V73" s="431">
        <f t="shared" si="1"/>
        <v>75.9375</v>
      </c>
      <c r="W73" s="413"/>
    </row>
    <row r="74" spans="1:23">
      <c r="A74" s="416">
        <v>8</v>
      </c>
      <c r="B74" s="417">
        <v>75</v>
      </c>
      <c r="C74" s="416">
        <v>16</v>
      </c>
      <c r="D74" s="417">
        <v>135</v>
      </c>
      <c r="E74" s="418">
        <v>16</v>
      </c>
      <c r="F74" s="417">
        <v>135</v>
      </c>
      <c r="G74" s="418">
        <v>16</v>
      </c>
      <c r="H74" s="425">
        <f t="shared" si="2"/>
        <v>108</v>
      </c>
      <c r="I74" s="421">
        <v>16</v>
      </c>
      <c r="J74" s="422">
        <f t="shared" si="0"/>
        <v>48.599999999999994</v>
      </c>
      <c r="K74" s="412"/>
      <c r="M74" s="426">
        <v>8</v>
      </c>
      <c r="N74" s="427">
        <v>75</v>
      </c>
      <c r="O74" s="426">
        <v>15</v>
      </c>
      <c r="P74" s="427">
        <v>145</v>
      </c>
      <c r="Q74" s="428">
        <v>15</v>
      </c>
      <c r="R74" s="429">
        <v>135</v>
      </c>
      <c r="S74" s="426">
        <v>15</v>
      </c>
      <c r="T74" s="432">
        <v>140.73529411764707</v>
      </c>
      <c r="U74" s="428">
        <v>15</v>
      </c>
      <c r="V74" s="431">
        <f t="shared" si="1"/>
        <v>71.71875</v>
      </c>
      <c r="W74" s="413"/>
    </row>
    <row r="75" spans="1:23">
      <c r="A75" s="416">
        <v>8.5</v>
      </c>
      <c r="B75" s="417">
        <v>75</v>
      </c>
      <c r="C75" s="416">
        <v>17</v>
      </c>
      <c r="D75" s="417">
        <v>135</v>
      </c>
      <c r="E75" s="418">
        <v>17</v>
      </c>
      <c r="F75" s="417">
        <v>135</v>
      </c>
      <c r="G75" s="418">
        <v>17</v>
      </c>
      <c r="H75" s="425">
        <f t="shared" si="2"/>
        <v>103.5</v>
      </c>
      <c r="I75" s="421">
        <v>17</v>
      </c>
      <c r="J75" s="422">
        <f t="shared" si="0"/>
        <v>43.199999999999989</v>
      </c>
      <c r="K75" s="412"/>
      <c r="M75" s="426">
        <v>8.5</v>
      </c>
      <c r="N75" s="427">
        <v>75</v>
      </c>
      <c r="O75" s="426">
        <v>16</v>
      </c>
      <c r="P75" s="427">
        <v>145</v>
      </c>
      <c r="Q75" s="428">
        <v>16</v>
      </c>
      <c r="R75" s="429">
        <v>135</v>
      </c>
      <c r="S75" s="426">
        <v>16</v>
      </c>
      <c r="T75" s="432">
        <v>136.47058823529412</v>
      </c>
      <c r="U75" s="428">
        <v>16</v>
      </c>
      <c r="V75" s="431">
        <f t="shared" si="1"/>
        <v>67.5</v>
      </c>
      <c r="W75" s="413"/>
    </row>
    <row r="76" spans="1:23">
      <c r="A76" s="416">
        <v>9</v>
      </c>
      <c r="B76" s="417">
        <v>75</v>
      </c>
      <c r="C76" s="416">
        <v>18</v>
      </c>
      <c r="D76" s="417">
        <v>135</v>
      </c>
      <c r="E76" s="418">
        <v>18</v>
      </c>
      <c r="F76" s="417">
        <v>135</v>
      </c>
      <c r="G76" s="418">
        <v>18</v>
      </c>
      <c r="H76" s="425">
        <f t="shared" si="2"/>
        <v>99</v>
      </c>
      <c r="I76" s="421">
        <v>18</v>
      </c>
      <c r="J76" s="422">
        <f t="shared" si="0"/>
        <v>37.799999999999997</v>
      </c>
      <c r="K76" s="412"/>
      <c r="M76" s="426">
        <v>9</v>
      </c>
      <c r="N76" s="427">
        <v>75</v>
      </c>
      <c r="O76" s="426">
        <v>17</v>
      </c>
      <c r="P76" s="427">
        <v>145</v>
      </c>
      <c r="Q76" s="428">
        <v>17</v>
      </c>
      <c r="R76" s="429">
        <v>135</v>
      </c>
      <c r="S76" s="426">
        <v>17</v>
      </c>
      <c r="T76" s="432">
        <v>132.20588235294119</v>
      </c>
      <c r="U76" s="428">
        <v>17</v>
      </c>
      <c r="V76" s="431">
        <f t="shared" si="1"/>
        <v>63.28125</v>
      </c>
      <c r="W76" s="413"/>
    </row>
    <row r="77" spans="1:23">
      <c r="A77" s="416">
        <v>9.5</v>
      </c>
      <c r="B77" s="417">
        <v>75</v>
      </c>
      <c r="C77" s="416">
        <v>19</v>
      </c>
      <c r="D77" s="417">
        <v>135</v>
      </c>
      <c r="E77" s="418">
        <v>19</v>
      </c>
      <c r="F77" s="417">
        <v>135</v>
      </c>
      <c r="G77" s="418">
        <v>19</v>
      </c>
      <c r="H77" s="425">
        <f t="shared" si="2"/>
        <v>94.5</v>
      </c>
      <c r="I77" s="421">
        <v>19</v>
      </c>
      <c r="J77" s="422">
        <f t="shared" si="0"/>
        <v>32.399999999999991</v>
      </c>
      <c r="K77" s="412"/>
      <c r="M77" s="426">
        <v>9.5</v>
      </c>
      <c r="N77" s="427">
        <v>75</v>
      </c>
      <c r="O77" s="426">
        <v>18</v>
      </c>
      <c r="P77" s="427">
        <v>145</v>
      </c>
      <c r="Q77" s="428">
        <v>18</v>
      </c>
      <c r="R77" s="429">
        <v>135</v>
      </c>
      <c r="S77" s="426">
        <v>18</v>
      </c>
      <c r="T77" s="432">
        <v>127.94117647058823</v>
      </c>
      <c r="U77" s="428">
        <v>18</v>
      </c>
      <c r="V77" s="431">
        <f t="shared" si="1"/>
        <v>59.0625</v>
      </c>
      <c r="W77" s="413"/>
    </row>
    <row r="78" spans="1:23">
      <c r="A78" s="416">
        <v>10</v>
      </c>
      <c r="B78" s="417">
        <v>75</v>
      </c>
      <c r="C78" s="416">
        <v>20</v>
      </c>
      <c r="D78" s="417">
        <v>135</v>
      </c>
      <c r="E78" s="418">
        <v>20</v>
      </c>
      <c r="F78" s="417">
        <v>135</v>
      </c>
      <c r="G78" s="418">
        <v>20</v>
      </c>
      <c r="H78" s="425">
        <f t="shared" si="2"/>
        <v>90</v>
      </c>
      <c r="I78" s="421">
        <v>20</v>
      </c>
      <c r="J78" s="422">
        <f t="shared" si="0"/>
        <v>27</v>
      </c>
      <c r="K78" s="412"/>
      <c r="M78" s="426">
        <v>10</v>
      </c>
      <c r="N78" s="427">
        <v>75</v>
      </c>
      <c r="O78" s="426">
        <v>19</v>
      </c>
      <c r="P78" s="427">
        <v>145</v>
      </c>
      <c r="Q78" s="428">
        <v>19</v>
      </c>
      <c r="R78" s="429">
        <v>135</v>
      </c>
      <c r="S78" s="426">
        <v>19</v>
      </c>
      <c r="T78" s="432">
        <v>123.67647058823529</v>
      </c>
      <c r="U78" s="428">
        <v>19</v>
      </c>
      <c r="V78" s="431">
        <f t="shared" si="1"/>
        <v>54.84375</v>
      </c>
      <c r="W78" s="413"/>
    </row>
    <row r="79" spans="1:23">
      <c r="A79" s="416">
        <v>10.5</v>
      </c>
      <c r="B79" s="433">
        <f t="shared" ref="B79:B102" si="3">((0-75)/(22.4+((35-22.4)/(0.5-0.2))*(0.2-0.2)-10))*(A79-(22.4+((35-22.4)/(0.5-0.2))*(0.2-0.2)))</f>
        <v>71.975806451612897</v>
      </c>
      <c r="C79" s="416">
        <v>21</v>
      </c>
      <c r="D79" s="417">
        <v>135</v>
      </c>
      <c r="E79" s="418">
        <v>21</v>
      </c>
      <c r="F79" s="417">
        <v>135</v>
      </c>
      <c r="G79" s="418">
        <v>21</v>
      </c>
      <c r="H79" s="425">
        <f t="shared" si="2"/>
        <v>85.5</v>
      </c>
      <c r="I79" s="421">
        <v>21</v>
      </c>
      <c r="J79" s="422">
        <f t="shared" si="0"/>
        <v>21.599999999999994</v>
      </c>
      <c r="K79" s="412"/>
      <c r="M79" s="426">
        <v>10.5</v>
      </c>
      <c r="N79" s="427">
        <v>75</v>
      </c>
      <c r="O79" s="426">
        <v>20</v>
      </c>
      <c r="P79" s="427">
        <v>145</v>
      </c>
      <c r="Q79" s="428">
        <v>20</v>
      </c>
      <c r="R79" s="429">
        <v>135</v>
      </c>
      <c r="S79" s="426">
        <v>20</v>
      </c>
      <c r="T79" s="432">
        <v>119.41176470588235</v>
      </c>
      <c r="U79" s="428">
        <v>20</v>
      </c>
      <c r="V79" s="431">
        <f t="shared" si="1"/>
        <v>50.625</v>
      </c>
      <c r="W79" s="413"/>
    </row>
    <row r="80" spans="1:23">
      <c r="A80" s="416">
        <v>11</v>
      </c>
      <c r="B80" s="433">
        <f t="shared" si="3"/>
        <v>68.951612903225808</v>
      </c>
      <c r="C80" s="416">
        <v>22</v>
      </c>
      <c r="D80" s="417">
        <v>135</v>
      </c>
      <c r="E80" s="418">
        <v>22</v>
      </c>
      <c r="F80" s="417">
        <v>135</v>
      </c>
      <c r="G80" s="418">
        <v>22</v>
      </c>
      <c r="H80" s="425">
        <f t="shared" si="2"/>
        <v>81</v>
      </c>
      <c r="I80" s="421">
        <v>22</v>
      </c>
      <c r="J80" s="422">
        <f t="shared" si="0"/>
        <v>16.199999999999989</v>
      </c>
      <c r="K80" s="412"/>
      <c r="M80" s="426">
        <v>11</v>
      </c>
      <c r="N80" s="427">
        <v>75</v>
      </c>
      <c r="O80" s="426">
        <v>21</v>
      </c>
      <c r="P80" s="427">
        <v>145</v>
      </c>
      <c r="Q80" s="428">
        <v>21</v>
      </c>
      <c r="R80" s="429">
        <v>135</v>
      </c>
      <c r="S80" s="426">
        <v>21</v>
      </c>
      <c r="T80" s="432">
        <v>115.14705882352942</v>
      </c>
      <c r="U80" s="428">
        <v>21</v>
      </c>
      <c r="V80" s="431">
        <f t="shared" si="1"/>
        <v>46.40625</v>
      </c>
      <c r="W80" s="413"/>
    </row>
    <row r="81" spans="1:23">
      <c r="A81" s="416">
        <v>11.5</v>
      </c>
      <c r="B81" s="433">
        <f t="shared" si="3"/>
        <v>65.927419354838705</v>
      </c>
      <c r="C81" s="416">
        <v>23</v>
      </c>
      <c r="D81" s="417">
        <v>135</v>
      </c>
      <c r="E81" s="418">
        <v>23</v>
      </c>
      <c r="F81" s="417">
        <v>135</v>
      </c>
      <c r="G81" s="418">
        <v>23</v>
      </c>
      <c r="H81" s="425">
        <f t="shared" si="2"/>
        <v>76.5</v>
      </c>
      <c r="I81" s="421">
        <v>23</v>
      </c>
      <c r="J81" s="422">
        <f t="shared" si="0"/>
        <v>10.799999999999997</v>
      </c>
      <c r="K81" s="412"/>
      <c r="M81" s="426">
        <v>11.5</v>
      </c>
      <c r="N81" s="427">
        <v>75</v>
      </c>
      <c r="O81" s="426">
        <v>22</v>
      </c>
      <c r="P81" s="427">
        <v>145</v>
      </c>
      <c r="Q81" s="428">
        <v>22</v>
      </c>
      <c r="R81" s="429">
        <v>135</v>
      </c>
      <c r="S81" s="426">
        <v>22</v>
      </c>
      <c r="T81" s="432">
        <v>110.88235294117646</v>
      </c>
      <c r="U81" s="428">
        <v>22</v>
      </c>
      <c r="V81" s="431">
        <f t="shared" si="1"/>
        <v>42.1875</v>
      </c>
      <c r="W81" s="413"/>
    </row>
    <row r="82" spans="1:23">
      <c r="A82" s="416">
        <v>12</v>
      </c>
      <c r="B82" s="433">
        <f t="shared" si="3"/>
        <v>62.903225806451609</v>
      </c>
      <c r="C82" s="416">
        <v>24</v>
      </c>
      <c r="D82" s="417">
        <v>135</v>
      </c>
      <c r="E82" s="418">
        <v>24</v>
      </c>
      <c r="F82" s="417">
        <v>135</v>
      </c>
      <c r="G82" s="418">
        <v>24</v>
      </c>
      <c r="H82" s="425">
        <f t="shared" si="2"/>
        <v>72</v>
      </c>
      <c r="I82" s="421">
        <v>24</v>
      </c>
      <c r="J82" s="422">
        <f t="shared" si="0"/>
        <v>5.3999999999999773</v>
      </c>
      <c r="K82" s="412"/>
      <c r="M82" s="426">
        <v>12</v>
      </c>
      <c r="N82" s="427">
        <v>75</v>
      </c>
      <c r="O82" s="426">
        <v>23</v>
      </c>
      <c r="P82" s="427">
        <v>145</v>
      </c>
      <c r="Q82" s="428">
        <v>23</v>
      </c>
      <c r="R82" s="429">
        <v>135</v>
      </c>
      <c r="S82" s="426">
        <v>23</v>
      </c>
      <c r="T82" s="432">
        <v>106.61764705882354</v>
      </c>
      <c r="U82" s="428">
        <v>23</v>
      </c>
      <c r="V82" s="431">
        <f t="shared" si="1"/>
        <v>37.96875</v>
      </c>
      <c r="W82" s="413"/>
    </row>
    <row r="83" spans="1:23">
      <c r="A83" s="416">
        <v>12.5</v>
      </c>
      <c r="B83" s="433">
        <f t="shared" si="3"/>
        <v>59.879032258064512</v>
      </c>
      <c r="C83" s="416">
        <v>25</v>
      </c>
      <c r="D83" s="417">
        <v>135</v>
      </c>
      <c r="E83" s="418">
        <v>25</v>
      </c>
      <c r="F83" s="417">
        <v>135</v>
      </c>
      <c r="G83" s="418">
        <v>25</v>
      </c>
      <c r="H83" s="425">
        <f t="shared" si="2"/>
        <v>67.5</v>
      </c>
      <c r="I83" s="434">
        <v>25</v>
      </c>
      <c r="J83" s="435">
        <f t="shared" si="0"/>
        <v>0</v>
      </c>
      <c r="K83" s="412"/>
      <c r="M83" s="426">
        <v>12.5</v>
      </c>
      <c r="N83" s="427">
        <v>75</v>
      </c>
      <c r="O83" s="426">
        <v>24</v>
      </c>
      <c r="P83" s="427">
        <v>145</v>
      </c>
      <c r="Q83" s="428">
        <v>24</v>
      </c>
      <c r="R83" s="429">
        <v>135</v>
      </c>
      <c r="S83" s="426">
        <v>24</v>
      </c>
      <c r="T83" s="432">
        <v>102.35294117647058</v>
      </c>
      <c r="U83" s="428">
        <v>24</v>
      </c>
      <c r="V83" s="431">
        <f t="shared" si="1"/>
        <v>33.75</v>
      </c>
      <c r="W83" s="413"/>
    </row>
    <row r="84" spans="1:23">
      <c r="A84" s="416">
        <v>13</v>
      </c>
      <c r="B84" s="433">
        <f t="shared" si="3"/>
        <v>56.854838709677416</v>
      </c>
      <c r="C84" s="416">
        <v>26</v>
      </c>
      <c r="D84" s="417">
        <v>135</v>
      </c>
      <c r="E84" s="418">
        <v>26</v>
      </c>
      <c r="F84" s="417">
        <v>135</v>
      </c>
      <c r="G84" s="418">
        <v>26</v>
      </c>
      <c r="H84" s="425">
        <f t="shared" si="2"/>
        <v>63</v>
      </c>
      <c r="I84" s="436" t="s">
        <v>174</v>
      </c>
      <c r="J84" s="437" t="s">
        <v>23</v>
      </c>
      <c r="K84" s="412"/>
      <c r="M84" s="426">
        <v>13</v>
      </c>
      <c r="N84" s="427">
        <v>75</v>
      </c>
      <c r="O84" s="426">
        <v>25</v>
      </c>
      <c r="P84" s="427">
        <v>145</v>
      </c>
      <c r="Q84" s="428">
        <v>25</v>
      </c>
      <c r="R84" s="429">
        <v>135</v>
      </c>
      <c r="S84" s="426">
        <v>25</v>
      </c>
      <c r="T84" s="432">
        <v>98.088235294117652</v>
      </c>
      <c r="U84" s="428">
        <v>25</v>
      </c>
      <c r="V84" s="431">
        <f t="shared" si="1"/>
        <v>29.53125</v>
      </c>
      <c r="W84" s="413"/>
    </row>
    <row r="85" spans="1:23">
      <c r="A85" s="416">
        <v>13.5</v>
      </c>
      <c r="B85" s="433">
        <f t="shared" si="3"/>
        <v>53.83064516129032</v>
      </c>
      <c r="C85" s="416">
        <v>27</v>
      </c>
      <c r="D85" s="417">
        <v>135</v>
      </c>
      <c r="E85" s="418">
        <v>27</v>
      </c>
      <c r="F85" s="417">
        <v>135</v>
      </c>
      <c r="G85" s="418">
        <v>27</v>
      </c>
      <c r="H85" s="425">
        <f t="shared" si="2"/>
        <v>58.5</v>
      </c>
      <c r="I85" s="438">
        <v>0</v>
      </c>
      <c r="J85" s="439">
        <v>50</v>
      </c>
      <c r="K85" s="412"/>
      <c r="M85" s="426">
        <v>13.5</v>
      </c>
      <c r="N85" s="427">
        <v>75</v>
      </c>
      <c r="O85" s="426">
        <v>26</v>
      </c>
      <c r="P85" s="427">
        <v>145</v>
      </c>
      <c r="Q85" s="428">
        <v>26</v>
      </c>
      <c r="R85" s="429">
        <v>135</v>
      </c>
      <c r="S85" s="426">
        <v>26</v>
      </c>
      <c r="T85" s="432">
        <v>93.82352941176471</v>
      </c>
      <c r="U85" s="428">
        <v>26</v>
      </c>
      <c r="V85" s="431">
        <f t="shared" si="1"/>
        <v>25.3125</v>
      </c>
      <c r="W85" s="413"/>
    </row>
    <row r="86" spans="1:23">
      <c r="A86" s="416">
        <v>14</v>
      </c>
      <c r="B86" s="433">
        <f t="shared" si="3"/>
        <v>50.806451612903217</v>
      </c>
      <c r="C86" s="416">
        <v>28</v>
      </c>
      <c r="D86" s="417">
        <v>135</v>
      </c>
      <c r="E86" s="418">
        <v>28</v>
      </c>
      <c r="F86" s="417">
        <v>135</v>
      </c>
      <c r="G86" s="418">
        <v>28</v>
      </c>
      <c r="H86" s="425">
        <f t="shared" si="2"/>
        <v>54</v>
      </c>
      <c r="I86" s="421">
        <v>1</v>
      </c>
      <c r="J86" s="422">
        <v>50</v>
      </c>
      <c r="K86" s="412"/>
      <c r="M86" s="426">
        <v>14</v>
      </c>
      <c r="N86" s="427">
        <v>75</v>
      </c>
      <c r="O86" s="426">
        <v>27</v>
      </c>
      <c r="P86" s="427">
        <v>145</v>
      </c>
      <c r="Q86" s="428">
        <v>27</v>
      </c>
      <c r="R86" s="429">
        <v>135</v>
      </c>
      <c r="S86" s="426">
        <v>27</v>
      </c>
      <c r="T86" s="432">
        <v>89.558823529411768</v>
      </c>
      <c r="U86" s="428">
        <v>27</v>
      </c>
      <c r="V86" s="431">
        <f t="shared" si="1"/>
        <v>21.09375</v>
      </c>
      <c r="W86" s="413"/>
    </row>
    <row r="87" spans="1:23">
      <c r="A87" s="416">
        <v>14.5</v>
      </c>
      <c r="B87" s="433">
        <f t="shared" si="3"/>
        <v>47.782258064516121</v>
      </c>
      <c r="C87" s="416">
        <v>29</v>
      </c>
      <c r="D87" s="417">
        <v>135</v>
      </c>
      <c r="E87" s="418">
        <v>29</v>
      </c>
      <c r="F87" s="417">
        <v>135</v>
      </c>
      <c r="G87" s="418">
        <v>29</v>
      </c>
      <c r="H87" s="425">
        <f t="shared" si="2"/>
        <v>49.5</v>
      </c>
      <c r="I87" s="421">
        <v>2</v>
      </c>
      <c r="J87" s="422">
        <v>50</v>
      </c>
      <c r="K87" s="412"/>
      <c r="M87" s="426">
        <v>14.5</v>
      </c>
      <c r="N87" s="427">
        <v>75</v>
      </c>
      <c r="O87" s="426">
        <v>28</v>
      </c>
      <c r="P87" s="427">
        <v>145</v>
      </c>
      <c r="Q87" s="428">
        <v>28</v>
      </c>
      <c r="R87" s="429">
        <v>135</v>
      </c>
      <c r="S87" s="426">
        <v>28</v>
      </c>
      <c r="T87" s="432">
        <v>85.294117647058826</v>
      </c>
      <c r="U87" s="428">
        <v>28</v>
      </c>
      <c r="V87" s="431">
        <f t="shared" si="1"/>
        <v>16.875</v>
      </c>
      <c r="W87" s="413"/>
    </row>
    <row r="88" spans="1:23">
      <c r="A88" s="416">
        <v>15</v>
      </c>
      <c r="B88" s="433">
        <f t="shared" si="3"/>
        <v>44.758064516129025</v>
      </c>
      <c r="C88" s="416">
        <v>30</v>
      </c>
      <c r="D88" s="417">
        <v>135</v>
      </c>
      <c r="E88" s="418">
        <v>30</v>
      </c>
      <c r="F88" s="417">
        <v>135</v>
      </c>
      <c r="G88" s="418">
        <v>30</v>
      </c>
      <c r="H88" s="425">
        <f t="shared" si="2"/>
        <v>45</v>
      </c>
      <c r="I88" s="421">
        <v>3</v>
      </c>
      <c r="J88" s="422">
        <v>50</v>
      </c>
      <c r="K88" s="412"/>
      <c r="M88" s="426">
        <v>15</v>
      </c>
      <c r="N88" s="427">
        <v>75</v>
      </c>
      <c r="O88" s="426">
        <v>29</v>
      </c>
      <c r="P88" s="427">
        <v>145</v>
      </c>
      <c r="Q88" s="428">
        <v>29</v>
      </c>
      <c r="R88" s="429">
        <v>135</v>
      </c>
      <c r="S88" s="426">
        <v>29</v>
      </c>
      <c r="T88" s="432">
        <v>81.029411764705884</v>
      </c>
      <c r="U88" s="428">
        <v>29</v>
      </c>
      <c r="V88" s="431">
        <f t="shared" si="1"/>
        <v>12.65625</v>
      </c>
      <c r="W88" s="413"/>
    </row>
    <row r="89" spans="1:23">
      <c r="A89" s="416">
        <v>15.5</v>
      </c>
      <c r="B89" s="433">
        <f t="shared" si="3"/>
        <v>41.733870967741929</v>
      </c>
      <c r="C89" s="416">
        <v>31</v>
      </c>
      <c r="D89" s="417">
        <v>135</v>
      </c>
      <c r="E89" s="418">
        <v>31</v>
      </c>
      <c r="F89" s="417">
        <v>135</v>
      </c>
      <c r="G89" s="418">
        <v>31</v>
      </c>
      <c r="H89" s="425">
        <f t="shared" si="2"/>
        <v>40.5</v>
      </c>
      <c r="I89" s="421">
        <v>4</v>
      </c>
      <c r="J89" s="422">
        <v>50</v>
      </c>
      <c r="K89" s="412"/>
      <c r="M89" s="426">
        <v>15.5</v>
      </c>
      <c r="N89" s="440">
        <f t="shared" ref="N89:N112" si="4">((0-75)/(27+((42-27)/(0.5-0.2))*(0.2-0.2)-15))*(M89-(27+((42-27)/(0.5-0.2))*(0.2-0.2)))</f>
        <v>71.875</v>
      </c>
      <c r="O89" s="426">
        <v>30</v>
      </c>
      <c r="P89" s="427">
        <v>145</v>
      </c>
      <c r="Q89" s="428">
        <v>30</v>
      </c>
      <c r="R89" s="429">
        <v>135</v>
      </c>
      <c r="S89" s="426">
        <v>30</v>
      </c>
      <c r="T89" s="432">
        <v>76.764705882352942</v>
      </c>
      <c r="U89" s="428">
        <v>30</v>
      </c>
      <c r="V89" s="431">
        <f t="shared" si="1"/>
        <v>8.4375</v>
      </c>
      <c r="W89" s="413"/>
    </row>
    <row r="90" spans="1:23">
      <c r="A90" s="416">
        <v>16</v>
      </c>
      <c r="B90" s="433">
        <f t="shared" si="3"/>
        <v>38.709677419354833</v>
      </c>
      <c r="C90" s="416">
        <v>32</v>
      </c>
      <c r="D90" s="417">
        <v>135</v>
      </c>
      <c r="E90" s="418">
        <v>32</v>
      </c>
      <c r="F90" s="417">
        <v>135</v>
      </c>
      <c r="G90" s="418">
        <v>32</v>
      </c>
      <c r="H90" s="425">
        <f t="shared" si="2"/>
        <v>36</v>
      </c>
      <c r="I90" s="421">
        <v>5</v>
      </c>
      <c r="J90" s="422">
        <v>50</v>
      </c>
      <c r="K90" s="412"/>
      <c r="M90" s="426">
        <v>16</v>
      </c>
      <c r="N90" s="440">
        <f t="shared" si="4"/>
        <v>68.75</v>
      </c>
      <c r="O90" s="426">
        <v>31</v>
      </c>
      <c r="P90" s="427">
        <v>145</v>
      </c>
      <c r="Q90" s="428">
        <v>31</v>
      </c>
      <c r="R90" s="429">
        <v>135</v>
      </c>
      <c r="S90" s="426">
        <v>31</v>
      </c>
      <c r="T90" s="432">
        <v>72.5</v>
      </c>
      <c r="U90" s="428">
        <v>31</v>
      </c>
      <c r="V90" s="431">
        <f t="shared" si="1"/>
        <v>4.21875</v>
      </c>
      <c r="W90" s="413"/>
    </row>
    <row r="91" spans="1:23">
      <c r="A91" s="416">
        <v>16.5</v>
      </c>
      <c r="B91" s="433">
        <f t="shared" si="3"/>
        <v>35.685483870967737</v>
      </c>
      <c r="C91" s="416">
        <v>33</v>
      </c>
      <c r="D91" s="417">
        <v>135</v>
      </c>
      <c r="E91" s="418">
        <v>33</v>
      </c>
      <c r="F91" s="417">
        <v>135</v>
      </c>
      <c r="G91" s="418">
        <v>33</v>
      </c>
      <c r="H91" s="425">
        <f t="shared" si="2"/>
        <v>31.5</v>
      </c>
      <c r="I91" s="421">
        <v>6</v>
      </c>
      <c r="J91" s="422">
        <v>50</v>
      </c>
      <c r="K91" s="412"/>
      <c r="M91" s="426">
        <v>16.5</v>
      </c>
      <c r="N91" s="440">
        <f t="shared" si="4"/>
        <v>65.625</v>
      </c>
      <c r="O91" s="426">
        <v>32</v>
      </c>
      <c r="P91" s="427">
        <v>145</v>
      </c>
      <c r="Q91" s="428">
        <v>32</v>
      </c>
      <c r="R91" s="429">
        <v>135</v>
      </c>
      <c r="S91" s="426">
        <v>32</v>
      </c>
      <c r="T91" s="432">
        <v>68.235294117647058</v>
      </c>
      <c r="U91" s="441">
        <v>32</v>
      </c>
      <c r="V91" s="442">
        <f t="shared" si="1"/>
        <v>0</v>
      </c>
      <c r="W91" s="413"/>
    </row>
    <row r="92" spans="1:23">
      <c r="A92" s="416">
        <v>17</v>
      </c>
      <c r="B92" s="433">
        <f t="shared" si="3"/>
        <v>32.661290322580641</v>
      </c>
      <c r="C92" s="416">
        <v>34</v>
      </c>
      <c r="D92" s="417">
        <v>135</v>
      </c>
      <c r="E92" s="418">
        <v>34</v>
      </c>
      <c r="F92" s="417">
        <v>135</v>
      </c>
      <c r="G92" s="418">
        <v>34</v>
      </c>
      <c r="H92" s="425">
        <f t="shared" si="2"/>
        <v>27</v>
      </c>
      <c r="I92" s="421">
        <v>7</v>
      </c>
      <c r="J92" s="422">
        <v>50</v>
      </c>
      <c r="K92" s="412"/>
      <c r="M92" s="426">
        <v>17</v>
      </c>
      <c r="N92" s="440">
        <f t="shared" si="4"/>
        <v>62.5</v>
      </c>
      <c r="O92" s="426">
        <v>33</v>
      </c>
      <c r="P92" s="427">
        <v>145</v>
      </c>
      <c r="Q92" s="428">
        <v>33</v>
      </c>
      <c r="R92" s="429">
        <v>135</v>
      </c>
      <c r="S92" s="426">
        <v>33</v>
      </c>
      <c r="T92" s="432">
        <v>63.970588235294116</v>
      </c>
      <c r="U92" s="443" t="s">
        <v>174</v>
      </c>
      <c r="V92" s="444" t="s">
        <v>23</v>
      </c>
      <c r="W92" s="413"/>
    </row>
    <row r="93" spans="1:23">
      <c r="A93" s="416">
        <v>17.5</v>
      </c>
      <c r="B93" s="433">
        <f t="shared" si="3"/>
        <v>29.637096774193541</v>
      </c>
      <c r="C93" s="416">
        <v>35</v>
      </c>
      <c r="D93" s="417">
        <v>135</v>
      </c>
      <c r="E93" s="418">
        <v>35</v>
      </c>
      <c r="F93" s="417">
        <v>135</v>
      </c>
      <c r="G93" s="418">
        <v>35</v>
      </c>
      <c r="H93" s="425">
        <f t="shared" si="2"/>
        <v>22.5</v>
      </c>
      <c r="I93" s="421">
        <v>8</v>
      </c>
      <c r="J93" s="422">
        <v>50</v>
      </c>
      <c r="K93" s="412"/>
      <c r="M93" s="426">
        <v>17.5</v>
      </c>
      <c r="N93" s="440">
        <f t="shared" si="4"/>
        <v>59.375</v>
      </c>
      <c r="O93" s="426">
        <v>34</v>
      </c>
      <c r="P93" s="427">
        <v>145</v>
      </c>
      <c r="Q93" s="428">
        <v>34</v>
      </c>
      <c r="R93" s="429">
        <v>135</v>
      </c>
      <c r="S93" s="426">
        <v>34</v>
      </c>
      <c r="T93" s="432">
        <v>59.705882352941174</v>
      </c>
      <c r="U93" s="445">
        <v>0</v>
      </c>
      <c r="V93" s="446">
        <v>50</v>
      </c>
      <c r="W93" s="413"/>
    </row>
    <row r="94" spans="1:23">
      <c r="A94" s="416">
        <v>18</v>
      </c>
      <c r="B94" s="433">
        <f t="shared" si="3"/>
        <v>26.612903225806445</v>
      </c>
      <c r="C94" s="416">
        <v>36</v>
      </c>
      <c r="D94" s="417">
        <v>135</v>
      </c>
      <c r="E94" s="418">
        <v>36</v>
      </c>
      <c r="F94" s="417">
        <v>135</v>
      </c>
      <c r="G94" s="418">
        <v>36</v>
      </c>
      <c r="H94" s="425">
        <f t="shared" si="2"/>
        <v>18</v>
      </c>
      <c r="I94" s="421">
        <v>9</v>
      </c>
      <c r="J94" s="422">
        <v>50</v>
      </c>
      <c r="K94" s="412"/>
      <c r="M94" s="426">
        <v>18</v>
      </c>
      <c r="N94" s="440">
        <f t="shared" si="4"/>
        <v>56.25</v>
      </c>
      <c r="O94" s="426">
        <v>35</v>
      </c>
      <c r="P94" s="427">
        <v>145</v>
      </c>
      <c r="Q94" s="428">
        <v>35</v>
      </c>
      <c r="R94" s="429">
        <v>135</v>
      </c>
      <c r="S94" s="426">
        <v>35</v>
      </c>
      <c r="T94" s="432">
        <v>55.441176470588232</v>
      </c>
      <c r="U94" s="447">
        <v>1</v>
      </c>
      <c r="V94" s="448">
        <v>50</v>
      </c>
      <c r="W94" s="413"/>
    </row>
    <row r="95" spans="1:23">
      <c r="A95" s="416">
        <v>18.5</v>
      </c>
      <c r="B95" s="433">
        <f t="shared" si="3"/>
        <v>23.588709677419349</v>
      </c>
      <c r="C95" s="416">
        <v>37</v>
      </c>
      <c r="D95" s="417">
        <v>135</v>
      </c>
      <c r="E95" s="418">
        <v>37</v>
      </c>
      <c r="F95" s="417">
        <v>135</v>
      </c>
      <c r="G95" s="418">
        <v>37</v>
      </c>
      <c r="H95" s="425">
        <f t="shared" si="2"/>
        <v>13.5</v>
      </c>
      <c r="I95" s="421">
        <v>10</v>
      </c>
      <c r="J95" s="422">
        <v>50</v>
      </c>
      <c r="K95" s="412"/>
      <c r="M95" s="426">
        <v>18.5</v>
      </c>
      <c r="N95" s="440">
        <f t="shared" si="4"/>
        <v>53.125</v>
      </c>
      <c r="O95" s="426">
        <v>36</v>
      </c>
      <c r="P95" s="427">
        <v>145</v>
      </c>
      <c r="Q95" s="428">
        <v>36</v>
      </c>
      <c r="R95" s="429">
        <v>135</v>
      </c>
      <c r="S95" s="426">
        <v>36</v>
      </c>
      <c r="T95" s="432">
        <v>51.17647058823529</v>
      </c>
      <c r="U95" s="447">
        <v>2</v>
      </c>
      <c r="V95" s="448">
        <v>50</v>
      </c>
      <c r="W95" s="413"/>
    </row>
    <row r="96" spans="1:23">
      <c r="A96" s="416">
        <v>19</v>
      </c>
      <c r="B96" s="433">
        <f t="shared" si="3"/>
        <v>20.564516129032249</v>
      </c>
      <c r="C96" s="416">
        <v>38</v>
      </c>
      <c r="D96" s="417">
        <v>135</v>
      </c>
      <c r="E96" s="418">
        <v>38</v>
      </c>
      <c r="F96" s="417">
        <v>135</v>
      </c>
      <c r="G96" s="418">
        <v>38</v>
      </c>
      <c r="H96" s="425">
        <f t="shared" si="2"/>
        <v>9</v>
      </c>
      <c r="I96" s="421">
        <v>11</v>
      </c>
      <c r="J96" s="422">
        <v>50</v>
      </c>
      <c r="K96" s="412"/>
      <c r="M96" s="426">
        <v>19</v>
      </c>
      <c r="N96" s="440">
        <f t="shared" si="4"/>
        <v>50</v>
      </c>
      <c r="O96" s="426">
        <v>37</v>
      </c>
      <c r="P96" s="427">
        <v>145</v>
      </c>
      <c r="Q96" s="428">
        <v>37</v>
      </c>
      <c r="R96" s="429">
        <v>135</v>
      </c>
      <c r="S96" s="426">
        <v>37</v>
      </c>
      <c r="T96" s="432">
        <v>46.911764705882348</v>
      </c>
      <c r="U96" s="447">
        <v>3</v>
      </c>
      <c r="V96" s="448">
        <v>50</v>
      </c>
      <c r="W96" s="413"/>
    </row>
    <row r="97" spans="1:23">
      <c r="A97" s="416">
        <v>19.5</v>
      </c>
      <c r="B97" s="433">
        <f t="shared" si="3"/>
        <v>17.540322580645153</v>
      </c>
      <c r="C97" s="416">
        <v>39</v>
      </c>
      <c r="D97" s="417">
        <v>135</v>
      </c>
      <c r="E97" s="418">
        <v>39</v>
      </c>
      <c r="F97" s="417">
        <v>135</v>
      </c>
      <c r="G97" s="418">
        <v>39</v>
      </c>
      <c r="H97" s="425">
        <f t="shared" si="2"/>
        <v>4.5</v>
      </c>
      <c r="I97" s="421">
        <v>12</v>
      </c>
      <c r="J97" s="422">
        <v>50</v>
      </c>
      <c r="K97" s="412"/>
      <c r="M97" s="426">
        <v>19.5</v>
      </c>
      <c r="N97" s="440">
        <f t="shared" si="4"/>
        <v>46.875</v>
      </c>
      <c r="O97" s="426">
        <v>38</v>
      </c>
      <c r="P97" s="427">
        <v>145</v>
      </c>
      <c r="Q97" s="428">
        <v>38</v>
      </c>
      <c r="R97" s="429">
        <v>135</v>
      </c>
      <c r="S97" s="426">
        <v>38</v>
      </c>
      <c r="T97" s="432">
        <v>42.64705882352942</v>
      </c>
      <c r="U97" s="447">
        <v>4</v>
      </c>
      <c r="V97" s="448">
        <v>50</v>
      </c>
      <c r="W97" s="413"/>
    </row>
    <row r="98" spans="1:23">
      <c r="A98" s="416">
        <v>20</v>
      </c>
      <c r="B98" s="433">
        <f t="shared" si="3"/>
        <v>14.516129032258057</v>
      </c>
      <c r="C98" s="416">
        <v>40</v>
      </c>
      <c r="D98" s="417">
        <v>135</v>
      </c>
      <c r="E98" s="418">
        <v>40</v>
      </c>
      <c r="F98" s="417">
        <v>135</v>
      </c>
      <c r="G98" s="449">
        <v>40</v>
      </c>
      <c r="H98" s="450">
        <f t="shared" si="2"/>
        <v>0</v>
      </c>
      <c r="I98" s="421">
        <v>13</v>
      </c>
      <c r="J98" s="422">
        <v>50</v>
      </c>
      <c r="K98" s="412"/>
      <c r="M98" s="426">
        <v>20</v>
      </c>
      <c r="N98" s="440">
        <f t="shared" si="4"/>
        <v>43.75</v>
      </c>
      <c r="O98" s="426">
        <v>39</v>
      </c>
      <c r="P98" s="427">
        <v>145</v>
      </c>
      <c r="Q98" s="428">
        <v>39</v>
      </c>
      <c r="R98" s="429">
        <v>135</v>
      </c>
      <c r="S98" s="426">
        <v>39</v>
      </c>
      <c r="T98" s="432">
        <v>38.382352941176478</v>
      </c>
      <c r="U98" s="447">
        <v>5</v>
      </c>
      <c r="V98" s="448">
        <v>50</v>
      </c>
      <c r="W98" s="413"/>
    </row>
    <row r="99" spans="1:23">
      <c r="A99" s="416">
        <v>20.5</v>
      </c>
      <c r="B99" s="433">
        <f t="shared" si="3"/>
        <v>11.491935483870959</v>
      </c>
      <c r="C99" s="416">
        <v>41</v>
      </c>
      <c r="D99" s="417">
        <v>135</v>
      </c>
      <c r="E99" s="418">
        <v>41</v>
      </c>
      <c r="F99" s="417">
        <v>135</v>
      </c>
      <c r="G99" s="412"/>
      <c r="H99" s="412"/>
      <c r="I99" s="421">
        <v>14</v>
      </c>
      <c r="J99" s="422">
        <v>50</v>
      </c>
      <c r="K99" s="412"/>
      <c r="M99" s="426">
        <v>20.5</v>
      </c>
      <c r="N99" s="440">
        <f t="shared" si="4"/>
        <v>40.625</v>
      </c>
      <c r="O99" s="426">
        <v>40</v>
      </c>
      <c r="P99" s="427">
        <v>145</v>
      </c>
      <c r="Q99" s="428">
        <v>40</v>
      </c>
      <c r="R99" s="429">
        <v>135</v>
      </c>
      <c r="S99" s="426">
        <v>40</v>
      </c>
      <c r="T99" s="432">
        <v>34.117647058823536</v>
      </c>
      <c r="U99" s="447">
        <v>6</v>
      </c>
      <c r="V99" s="448">
        <v>50</v>
      </c>
      <c r="W99" s="413"/>
    </row>
    <row r="100" spans="1:23">
      <c r="A100" s="416">
        <v>21</v>
      </c>
      <c r="B100" s="433">
        <f t="shared" si="3"/>
        <v>8.467741935483863</v>
      </c>
      <c r="C100" s="416">
        <v>42</v>
      </c>
      <c r="D100" s="417">
        <v>135</v>
      </c>
      <c r="E100" s="418">
        <v>42</v>
      </c>
      <c r="F100" s="417">
        <v>135</v>
      </c>
      <c r="G100" s="412"/>
      <c r="H100" s="412"/>
      <c r="I100" s="421">
        <v>15</v>
      </c>
      <c r="J100" s="422">
        <v>50</v>
      </c>
      <c r="K100" s="412"/>
      <c r="M100" s="426">
        <v>21</v>
      </c>
      <c r="N100" s="440">
        <f t="shared" si="4"/>
        <v>37.5</v>
      </c>
      <c r="O100" s="426">
        <v>41</v>
      </c>
      <c r="P100" s="427">
        <v>145</v>
      </c>
      <c r="Q100" s="428">
        <v>41</v>
      </c>
      <c r="R100" s="429">
        <v>135</v>
      </c>
      <c r="S100" s="426">
        <v>41</v>
      </c>
      <c r="T100" s="432">
        <v>29.852941176470594</v>
      </c>
      <c r="U100" s="447">
        <v>7</v>
      </c>
      <c r="V100" s="448">
        <v>50</v>
      </c>
      <c r="W100" s="413"/>
    </row>
    <row r="101" spans="1:23">
      <c r="A101" s="416">
        <v>21.5</v>
      </c>
      <c r="B101" s="433">
        <f t="shared" si="3"/>
        <v>5.443548387096766</v>
      </c>
      <c r="C101" s="416">
        <v>43</v>
      </c>
      <c r="D101" s="417">
        <v>135</v>
      </c>
      <c r="E101" s="418">
        <v>43</v>
      </c>
      <c r="F101" s="417">
        <v>135</v>
      </c>
      <c r="G101" s="412"/>
      <c r="H101" s="412"/>
      <c r="I101" s="421">
        <v>16</v>
      </c>
      <c r="J101" s="422">
        <v>50</v>
      </c>
      <c r="K101" s="412"/>
      <c r="M101" s="426">
        <v>21.5</v>
      </c>
      <c r="N101" s="440">
        <f t="shared" si="4"/>
        <v>34.375</v>
      </c>
      <c r="O101" s="426">
        <v>42</v>
      </c>
      <c r="P101" s="427">
        <v>145</v>
      </c>
      <c r="Q101" s="428">
        <v>42</v>
      </c>
      <c r="R101" s="429">
        <v>135</v>
      </c>
      <c r="S101" s="426">
        <v>42</v>
      </c>
      <c r="T101" s="432">
        <v>25.588235294117652</v>
      </c>
      <c r="U101" s="447">
        <v>8</v>
      </c>
      <c r="V101" s="448">
        <v>50</v>
      </c>
      <c r="W101" s="413"/>
    </row>
    <row r="102" spans="1:23">
      <c r="A102" s="416">
        <v>22</v>
      </c>
      <c r="B102" s="433">
        <f t="shared" si="3"/>
        <v>2.4193548387096691</v>
      </c>
      <c r="C102" s="416">
        <v>44</v>
      </c>
      <c r="D102" s="417">
        <v>135</v>
      </c>
      <c r="E102" s="418">
        <v>44</v>
      </c>
      <c r="F102" s="417">
        <v>135</v>
      </c>
      <c r="G102" s="412"/>
      <c r="H102" s="412"/>
      <c r="I102" s="421">
        <v>17</v>
      </c>
      <c r="J102" s="422">
        <v>50</v>
      </c>
      <c r="K102" s="412"/>
      <c r="M102" s="426">
        <v>22</v>
      </c>
      <c r="N102" s="440">
        <f t="shared" si="4"/>
        <v>31.25</v>
      </c>
      <c r="O102" s="426">
        <v>43</v>
      </c>
      <c r="P102" s="427">
        <v>145</v>
      </c>
      <c r="Q102" s="428">
        <v>43</v>
      </c>
      <c r="R102" s="429">
        <v>135</v>
      </c>
      <c r="S102" s="426">
        <v>43</v>
      </c>
      <c r="T102" s="432">
        <v>21.32352941176471</v>
      </c>
      <c r="U102" s="447">
        <v>9</v>
      </c>
      <c r="V102" s="448">
        <v>50</v>
      </c>
      <c r="W102" s="413"/>
    </row>
    <row r="103" spans="1:23">
      <c r="A103" s="416">
        <v>22.4</v>
      </c>
      <c r="B103" s="433">
        <f>((0-75)/(22.4+((35-22.4)/(0.5-0.2))*(0.2-0.2)-10))*(A103-(22.4+((35-22.4)/(0.5-0.2))*(0.2-0.2)))</f>
        <v>0</v>
      </c>
      <c r="C103" s="416">
        <v>45</v>
      </c>
      <c r="D103" s="417">
        <v>135</v>
      </c>
      <c r="E103" s="418">
        <v>45</v>
      </c>
      <c r="F103" s="417">
        <v>135</v>
      </c>
      <c r="G103" s="412"/>
      <c r="H103" s="412"/>
      <c r="I103" s="421">
        <v>18</v>
      </c>
      <c r="J103" s="422">
        <v>50</v>
      </c>
      <c r="K103" s="412"/>
      <c r="M103" s="426">
        <v>22.5</v>
      </c>
      <c r="N103" s="440">
        <f t="shared" si="4"/>
        <v>28.125</v>
      </c>
      <c r="O103" s="426">
        <v>44</v>
      </c>
      <c r="P103" s="427">
        <v>145</v>
      </c>
      <c r="Q103" s="428">
        <v>44</v>
      </c>
      <c r="R103" s="429">
        <v>135</v>
      </c>
      <c r="S103" s="426">
        <v>44</v>
      </c>
      <c r="T103" s="432">
        <v>17.058823529411768</v>
      </c>
      <c r="U103" s="447">
        <v>10</v>
      </c>
      <c r="V103" s="448">
        <v>50</v>
      </c>
      <c r="W103" s="413"/>
    </row>
    <row r="104" spans="1:23">
      <c r="A104" s="451"/>
      <c r="B104" s="452"/>
      <c r="C104" s="416">
        <v>46</v>
      </c>
      <c r="D104" s="417">
        <v>135</v>
      </c>
      <c r="E104" s="418">
        <v>46</v>
      </c>
      <c r="F104" s="417">
        <v>135</v>
      </c>
      <c r="G104" s="412"/>
      <c r="H104" s="412"/>
      <c r="I104" s="421">
        <v>19</v>
      </c>
      <c r="J104" s="422">
        <v>50</v>
      </c>
      <c r="K104" s="412"/>
      <c r="M104" s="426">
        <v>23</v>
      </c>
      <c r="N104" s="440">
        <f t="shared" si="4"/>
        <v>25</v>
      </c>
      <c r="O104" s="426">
        <v>45</v>
      </c>
      <c r="P104" s="427">
        <v>145</v>
      </c>
      <c r="Q104" s="428">
        <v>45</v>
      </c>
      <c r="R104" s="429">
        <v>135</v>
      </c>
      <c r="S104" s="426">
        <v>45</v>
      </c>
      <c r="T104" s="432">
        <v>12.794117647058812</v>
      </c>
      <c r="U104" s="447">
        <v>11</v>
      </c>
      <c r="V104" s="448">
        <v>50</v>
      </c>
      <c r="W104" s="413"/>
    </row>
    <row r="105" spans="1:23" ht="15">
      <c r="A105" s="453" t="s">
        <v>170</v>
      </c>
      <c r="B105" s="454" t="s">
        <v>209</v>
      </c>
      <c r="C105" s="416">
        <v>47</v>
      </c>
      <c r="D105" s="417">
        <v>135</v>
      </c>
      <c r="E105" s="418">
        <v>47</v>
      </c>
      <c r="F105" s="417">
        <v>135</v>
      </c>
      <c r="G105" s="412"/>
      <c r="H105" s="412"/>
      <c r="I105" s="421">
        <v>20</v>
      </c>
      <c r="J105" s="422">
        <v>50</v>
      </c>
      <c r="K105" s="412"/>
      <c r="M105" s="426">
        <v>23.5</v>
      </c>
      <c r="N105" s="440">
        <f t="shared" si="4"/>
        <v>21.875</v>
      </c>
      <c r="O105" s="426">
        <v>46</v>
      </c>
      <c r="P105" s="427">
        <v>145</v>
      </c>
      <c r="Q105" s="428">
        <v>46</v>
      </c>
      <c r="R105" s="429">
        <v>135</v>
      </c>
      <c r="S105" s="426">
        <v>46</v>
      </c>
      <c r="T105" s="432">
        <v>8.529411764705884</v>
      </c>
      <c r="U105" s="447">
        <v>12</v>
      </c>
      <c r="V105" s="448">
        <v>50</v>
      </c>
      <c r="W105" s="413"/>
    </row>
    <row r="106" spans="1:23">
      <c r="A106" s="416">
        <v>0</v>
      </c>
      <c r="B106" s="455">
        <v>75</v>
      </c>
      <c r="C106" s="416">
        <v>48</v>
      </c>
      <c r="D106" s="417">
        <v>135</v>
      </c>
      <c r="E106" s="418">
        <v>48</v>
      </c>
      <c r="F106" s="417">
        <v>135</v>
      </c>
      <c r="G106" s="412"/>
      <c r="H106" s="412"/>
      <c r="I106" s="421">
        <v>21</v>
      </c>
      <c r="J106" s="456">
        <f t="shared" ref="J106:J135" si="5">50+(0-50)/(50-20)*(I106-20)</f>
        <v>48.333333333333336</v>
      </c>
      <c r="K106" s="412"/>
      <c r="M106" s="426">
        <v>24</v>
      </c>
      <c r="N106" s="440">
        <f t="shared" si="4"/>
        <v>18.75</v>
      </c>
      <c r="O106" s="426">
        <v>47</v>
      </c>
      <c r="P106" s="427">
        <v>145</v>
      </c>
      <c r="Q106" s="428">
        <v>47</v>
      </c>
      <c r="R106" s="429">
        <v>135</v>
      </c>
      <c r="S106" s="426">
        <v>47</v>
      </c>
      <c r="T106" s="432">
        <v>4.2647058823529562</v>
      </c>
      <c r="U106" s="447">
        <v>13</v>
      </c>
      <c r="V106" s="448">
        <v>50</v>
      </c>
      <c r="W106" s="413"/>
    </row>
    <row r="107" spans="1:23">
      <c r="A107" s="416">
        <v>0.5</v>
      </c>
      <c r="B107" s="455">
        <v>75</v>
      </c>
      <c r="C107" s="416">
        <v>49</v>
      </c>
      <c r="D107" s="417">
        <v>135</v>
      </c>
      <c r="E107" s="418">
        <v>49</v>
      </c>
      <c r="F107" s="417">
        <v>135</v>
      </c>
      <c r="G107" s="412"/>
      <c r="H107" s="412"/>
      <c r="I107" s="421">
        <v>22</v>
      </c>
      <c r="J107" s="456">
        <f t="shared" si="5"/>
        <v>46.666666666666664</v>
      </c>
      <c r="K107" s="412"/>
      <c r="M107" s="426">
        <v>24.5</v>
      </c>
      <c r="N107" s="440">
        <f t="shared" si="4"/>
        <v>15.625</v>
      </c>
      <c r="O107" s="426">
        <v>48</v>
      </c>
      <c r="P107" s="427">
        <v>145</v>
      </c>
      <c r="Q107" s="428">
        <v>48</v>
      </c>
      <c r="R107" s="429">
        <v>135</v>
      </c>
      <c r="S107" s="457">
        <v>48</v>
      </c>
      <c r="T107" s="458">
        <v>0</v>
      </c>
      <c r="U107" s="447">
        <v>14</v>
      </c>
      <c r="V107" s="448">
        <v>50</v>
      </c>
      <c r="W107" s="413"/>
    </row>
    <row r="108" spans="1:23">
      <c r="A108" s="416">
        <v>1</v>
      </c>
      <c r="B108" s="455">
        <v>75</v>
      </c>
      <c r="C108" s="416">
        <v>50</v>
      </c>
      <c r="D108" s="417">
        <v>135</v>
      </c>
      <c r="E108" s="418">
        <v>50</v>
      </c>
      <c r="F108" s="417">
        <v>135</v>
      </c>
      <c r="G108" s="412"/>
      <c r="H108" s="412"/>
      <c r="I108" s="421">
        <v>23</v>
      </c>
      <c r="J108" s="456">
        <f t="shared" si="5"/>
        <v>45</v>
      </c>
      <c r="K108" s="412"/>
      <c r="M108" s="426">
        <v>25</v>
      </c>
      <c r="N108" s="440">
        <f t="shared" si="4"/>
        <v>12.5</v>
      </c>
      <c r="O108" s="426">
        <v>49</v>
      </c>
      <c r="P108" s="427">
        <v>145</v>
      </c>
      <c r="Q108" s="428">
        <v>49</v>
      </c>
      <c r="R108" s="429">
        <v>135</v>
      </c>
      <c r="S108" s="413"/>
      <c r="T108" s="413"/>
      <c r="U108" s="447">
        <v>15</v>
      </c>
      <c r="V108" s="448">
        <v>50</v>
      </c>
      <c r="W108" s="413"/>
    </row>
    <row r="109" spans="1:23">
      <c r="A109" s="416">
        <v>1.5</v>
      </c>
      <c r="B109" s="455">
        <v>75</v>
      </c>
      <c r="C109" s="416">
        <v>51</v>
      </c>
      <c r="D109" s="417">
        <v>135</v>
      </c>
      <c r="E109" s="418">
        <v>51</v>
      </c>
      <c r="F109" s="459">
        <f t="shared" ref="F109:F172" si="6">135+(0+-135)/(130-50)*(E109-50)</f>
        <v>133.3125</v>
      </c>
      <c r="G109" s="412"/>
      <c r="H109" s="412"/>
      <c r="I109" s="421">
        <v>24</v>
      </c>
      <c r="J109" s="456">
        <f t="shared" si="5"/>
        <v>43.333333333333336</v>
      </c>
      <c r="K109" s="412"/>
      <c r="M109" s="426">
        <v>25.5</v>
      </c>
      <c r="N109" s="440">
        <f t="shared" si="4"/>
        <v>9.375</v>
      </c>
      <c r="O109" s="426">
        <v>50</v>
      </c>
      <c r="P109" s="427">
        <v>145</v>
      </c>
      <c r="Q109" s="428">
        <v>50</v>
      </c>
      <c r="R109" s="429">
        <v>135</v>
      </c>
      <c r="S109" s="413"/>
      <c r="T109" s="413"/>
      <c r="U109" s="447">
        <v>16</v>
      </c>
      <c r="V109" s="448">
        <v>50</v>
      </c>
      <c r="W109" s="413"/>
    </row>
    <row r="110" spans="1:23">
      <c r="A110" s="416">
        <v>2</v>
      </c>
      <c r="B110" s="455">
        <v>75</v>
      </c>
      <c r="C110" s="416">
        <v>52</v>
      </c>
      <c r="D110" s="417">
        <v>135</v>
      </c>
      <c r="E110" s="418">
        <v>52</v>
      </c>
      <c r="F110" s="459">
        <f t="shared" si="6"/>
        <v>131.625</v>
      </c>
      <c r="G110" s="412"/>
      <c r="H110" s="412"/>
      <c r="I110" s="421">
        <v>25</v>
      </c>
      <c r="J110" s="456">
        <f t="shared" si="5"/>
        <v>41.666666666666664</v>
      </c>
      <c r="K110" s="412"/>
      <c r="M110" s="426">
        <v>26</v>
      </c>
      <c r="N110" s="440">
        <f t="shared" si="4"/>
        <v>6.25</v>
      </c>
      <c r="O110" s="426">
        <v>51</v>
      </c>
      <c r="P110" s="427">
        <v>145</v>
      </c>
      <c r="Q110" s="428">
        <v>51</v>
      </c>
      <c r="R110" s="431">
        <f t="shared" ref="R110:R173" si="7">135+(0+-135)/(170-50)*(Q110-50)</f>
        <v>133.875</v>
      </c>
      <c r="S110" s="413"/>
      <c r="T110" s="413"/>
      <c r="U110" s="447">
        <v>17</v>
      </c>
      <c r="V110" s="448">
        <v>50</v>
      </c>
      <c r="W110" s="413"/>
    </row>
    <row r="111" spans="1:23">
      <c r="A111" s="416">
        <v>2.5</v>
      </c>
      <c r="B111" s="455">
        <v>75</v>
      </c>
      <c r="C111" s="416">
        <v>53</v>
      </c>
      <c r="D111" s="417">
        <v>135</v>
      </c>
      <c r="E111" s="418">
        <v>53</v>
      </c>
      <c r="F111" s="459">
        <f t="shared" si="6"/>
        <v>129.9375</v>
      </c>
      <c r="G111" s="412"/>
      <c r="H111" s="412"/>
      <c r="I111" s="421">
        <v>26</v>
      </c>
      <c r="J111" s="456">
        <f t="shared" si="5"/>
        <v>40</v>
      </c>
      <c r="K111" s="412"/>
      <c r="M111" s="426">
        <v>26.5</v>
      </c>
      <c r="N111" s="440">
        <f t="shared" si="4"/>
        <v>3.125</v>
      </c>
      <c r="O111" s="426">
        <v>52</v>
      </c>
      <c r="P111" s="427">
        <v>145</v>
      </c>
      <c r="Q111" s="428">
        <v>52</v>
      </c>
      <c r="R111" s="431">
        <f t="shared" si="7"/>
        <v>132.75</v>
      </c>
      <c r="S111" s="413"/>
      <c r="T111" s="413"/>
      <c r="U111" s="447">
        <v>18</v>
      </c>
      <c r="V111" s="448">
        <v>50</v>
      </c>
      <c r="W111" s="413"/>
    </row>
    <row r="112" spans="1:23">
      <c r="A112" s="416">
        <v>3</v>
      </c>
      <c r="B112" s="455">
        <v>75</v>
      </c>
      <c r="C112" s="416">
        <v>54</v>
      </c>
      <c r="D112" s="417">
        <v>135</v>
      </c>
      <c r="E112" s="418">
        <v>54</v>
      </c>
      <c r="F112" s="459">
        <f t="shared" si="6"/>
        <v>128.25</v>
      </c>
      <c r="G112" s="412"/>
      <c r="H112" s="412"/>
      <c r="I112" s="421">
        <v>27</v>
      </c>
      <c r="J112" s="456">
        <f t="shared" si="5"/>
        <v>38.333333333333329</v>
      </c>
      <c r="K112" s="412"/>
      <c r="M112" s="426">
        <v>27</v>
      </c>
      <c r="N112" s="440">
        <f t="shared" si="4"/>
        <v>0</v>
      </c>
      <c r="O112" s="426">
        <v>53</v>
      </c>
      <c r="P112" s="427">
        <v>145</v>
      </c>
      <c r="Q112" s="428">
        <v>53</v>
      </c>
      <c r="R112" s="431">
        <f t="shared" si="7"/>
        <v>131.625</v>
      </c>
      <c r="S112" s="413"/>
      <c r="T112" s="413"/>
      <c r="U112" s="447">
        <v>19</v>
      </c>
      <c r="V112" s="448">
        <v>50</v>
      </c>
      <c r="W112" s="413"/>
    </row>
    <row r="113" spans="1:23">
      <c r="A113" s="416">
        <v>3.5</v>
      </c>
      <c r="B113" s="455">
        <v>75</v>
      </c>
      <c r="C113" s="416">
        <v>55</v>
      </c>
      <c r="D113" s="417">
        <v>135</v>
      </c>
      <c r="E113" s="418">
        <v>55</v>
      </c>
      <c r="F113" s="459">
        <f t="shared" si="6"/>
        <v>126.5625</v>
      </c>
      <c r="G113" s="412"/>
      <c r="H113" s="412"/>
      <c r="I113" s="421">
        <v>28</v>
      </c>
      <c r="J113" s="456">
        <f t="shared" si="5"/>
        <v>36.666666666666664</v>
      </c>
      <c r="K113" s="412"/>
      <c r="M113" s="426"/>
      <c r="N113" s="460"/>
      <c r="O113" s="426">
        <v>54</v>
      </c>
      <c r="P113" s="427">
        <v>145</v>
      </c>
      <c r="Q113" s="428">
        <v>54</v>
      </c>
      <c r="R113" s="431">
        <f t="shared" si="7"/>
        <v>130.5</v>
      </c>
      <c r="S113" s="413"/>
      <c r="T113" s="413"/>
      <c r="U113" s="447">
        <v>20</v>
      </c>
      <c r="V113" s="448">
        <v>50</v>
      </c>
      <c r="W113" s="413"/>
    </row>
    <row r="114" spans="1:23" ht="15">
      <c r="A114" s="416">
        <v>4</v>
      </c>
      <c r="B114" s="455">
        <v>75</v>
      </c>
      <c r="C114" s="416">
        <v>56</v>
      </c>
      <c r="D114" s="417">
        <v>135</v>
      </c>
      <c r="E114" s="418">
        <v>56</v>
      </c>
      <c r="F114" s="459">
        <f t="shared" si="6"/>
        <v>124.875</v>
      </c>
      <c r="G114" s="412"/>
      <c r="H114" s="412"/>
      <c r="I114" s="421">
        <v>29</v>
      </c>
      <c r="J114" s="456">
        <f t="shared" si="5"/>
        <v>35</v>
      </c>
      <c r="K114" s="412"/>
      <c r="M114" s="461" t="s">
        <v>170</v>
      </c>
      <c r="N114" s="462" t="s">
        <v>209</v>
      </c>
      <c r="O114" s="426">
        <v>55</v>
      </c>
      <c r="P114" s="427">
        <v>145</v>
      </c>
      <c r="Q114" s="428">
        <v>55</v>
      </c>
      <c r="R114" s="431">
        <f t="shared" si="7"/>
        <v>129.375</v>
      </c>
      <c r="S114" s="413"/>
      <c r="T114" s="413"/>
      <c r="U114" s="447">
        <v>21</v>
      </c>
      <c r="V114" s="463">
        <f t="shared" ref="V114:V143" si="8">50+(0-50)/(50-20)*(U114-20)</f>
        <v>48.333333333333336</v>
      </c>
      <c r="W114" s="413"/>
    </row>
    <row r="115" spans="1:23">
      <c r="A115" s="416">
        <v>4.5</v>
      </c>
      <c r="B115" s="455">
        <v>75</v>
      </c>
      <c r="C115" s="416">
        <v>57</v>
      </c>
      <c r="D115" s="417">
        <v>135</v>
      </c>
      <c r="E115" s="418">
        <v>57</v>
      </c>
      <c r="F115" s="459">
        <f t="shared" si="6"/>
        <v>123.1875</v>
      </c>
      <c r="G115" s="412"/>
      <c r="H115" s="412"/>
      <c r="I115" s="421">
        <v>30</v>
      </c>
      <c r="J115" s="456">
        <f t="shared" si="5"/>
        <v>33.333333333333329</v>
      </c>
      <c r="K115" s="412"/>
      <c r="M115" s="426">
        <v>0</v>
      </c>
      <c r="N115" s="460">
        <v>75</v>
      </c>
      <c r="O115" s="426">
        <v>56</v>
      </c>
      <c r="P115" s="427">
        <v>145</v>
      </c>
      <c r="Q115" s="428">
        <v>56</v>
      </c>
      <c r="R115" s="431">
        <f t="shared" si="7"/>
        <v>128.25</v>
      </c>
      <c r="S115" s="413"/>
      <c r="T115" s="413"/>
      <c r="U115" s="447">
        <v>22</v>
      </c>
      <c r="V115" s="463">
        <f t="shared" si="8"/>
        <v>46.666666666666664</v>
      </c>
      <c r="W115" s="413"/>
    </row>
    <row r="116" spans="1:23">
      <c r="A116" s="416">
        <v>5</v>
      </c>
      <c r="B116" s="455">
        <v>75</v>
      </c>
      <c r="C116" s="416">
        <v>58</v>
      </c>
      <c r="D116" s="417">
        <v>135</v>
      </c>
      <c r="E116" s="418">
        <v>58</v>
      </c>
      <c r="F116" s="459">
        <f t="shared" si="6"/>
        <v>121.5</v>
      </c>
      <c r="G116" s="412"/>
      <c r="H116" s="412"/>
      <c r="I116" s="421">
        <v>31</v>
      </c>
      <c r="J116" s="456">
        <f t="shared" si="5"/>
        <v>31.666666666666664</v>
      </c>
      <c r="K116" s="412"/>
      <c r="M116" s="426">
        <v>0.5</v>
      </c>
      <c r="N116" s="460">
        <v>75</v>
      </c>
      <c r="O116" s="426">
        <v>57</v>
      </c>
      <c r="P116" s="427">
        <v>145</v>
      </c>
      <c r="Q116" s="428">
        <v>57</v>
      </c>
      <c r="R116" s="431">
        <f t="shared" si="7"/>
        <v>127.125</v>
      </c>
      <c r="S116" s="413"/>
      <c r="T116" s="413"/>
      <c r="U116" s="447">
        <v>23</v>
      </c>
      <c r="V116" s="463">
        <f t="shared" si="8"/>
        <v>45</v>
      </c>
      <c r="W116" s="413"/>
    </row>
    <row r="117" spans="1:23">
      <c r="A117" s="416">
        <v>5.5</v>
      </c>
      <c r="B117" s="455">
        <v>75</v>
      </c>
      <c r="C117" s="416">
        <v>59</v>
      </c>
      <c r="D117" s="417">
        <v>135</v>
      </c>
      <c r="E117" s="418">
        <v>59</v>
      </c>
      <c r="F117" s="459">
        <f t="shared" si="6"/>
        <v>119.8125</v>
      </c>
      <c r="G117" s="412"/>
      <c r="H117" s="412"/>
      <c r="I117" s="421">
        <v>32</v>
      </c>
      <c r="J117" s="456">
        <f t="shared" si="5"/>
        <v>30</v>
      </c>
      <c r="K117" s="412"/>
      <c r="M117" s="426">
        <v>1</v>
      </c>
      <c r="N117" s="460">
        <v>75</v>
      </c>
      <c r="O117" s="426">
        <v>58</v>
      </c>
      <c r="P117" s="427">
        <v>145</v>
      </c>
      <c r="Q117" s="428">
        <v>58</v>
      </c>
      <c r="R117" s="431">
        <f t="shared" si="7"/>
        <v>126</v>
      </c>
      <c r="S117" s="413"/>
      <c r="T117" s="413"/>
      <c r="U117" s="447">
        <v>24</v>
      </c>
      <c r="V117" s="463">
        <f t="shared" si="8"/>
        <v>43.333333333333336</v>
      </c>
      <c r="W117" s="413"/>
    </row>
    <row r="118" spans="1:23">
      <c r="A118" s="416">
        <v>6</v>
      </c>
      <c r="B118" s="455">
        <v>75</v>
      </c>
      <c r="C118" s="416">
        <v>60</v>
      </c>
      <c r="D118" s="417">
        <v>135</v>
      </c>
      <c r="E118" s="418">
        <v>60</v>
      </c>
      <c r="F118" s="459">
        <f t="shared" si="6"/>
        <v>118.125</v>
      </c>
      <c r="G118" s="412"/>
      <c r="H118" s="412"/>
      <c r="I118" s="421">
        <v>33</v>
      </c>
      <c r="J118" s="456">
        <f t="shared" si="5"/>
        <v>28.333333333333332</v>
      </c>
      <c r="K118" s="412"/>
      <c r="M118" s="426">
        <v>1.5</v>
      </c>
      <c r="N118" s="460">
        <v>75</v>
      </c>
      <c r="O118" s="426">
        <v>59</v>
      </c>
      <c r="P118" s="427">
        <v>145</v>
      </c>
      <c r="Q118" s="428">
        <v>59</v>
      </c>
      <c r="R118" s="431">
        <f t="shared" si="7"/>
        <v>124.875</v>
      </c>
      <c r="S118" s="413"/>
      <c r="T118" s="413"/>
      <c r="U118" s="447">
        <v>25</v>
      </c>
      <c r="V118" s="463">
        <f t="shared" si="8"/>
        <v>41.666666666666664</v>
      </c>
      <c r="W118" s="413"/>
    </row>
    <row r="119" spans="1:23">
      <c r="A119" s="416">
        <v>6.5</v>
      </c>
      <c r="B119" s="455">
        <v>75</v>
      </c>
      <c r="C119" s="416">
        <v>61</v>
      </c>
      <c r="D119" s="417">
        <v>135</v>
      </c>
      <c r="E119" s="418">
        <v>61</v>
      </c>
      <c r="F119" s="459">
        <f t="shared" si="6"/>
        <v>116.4375</v>
      </c>
      <c r="G119" s="412"/>
      <c r="H119" s="412"/>
      <c r="I119" s="421">
        <v>34</v>
      </c>
      <c r="J119" s="456">
        <f t="shared" si="5"/>
        <v>26.666666666666664</v>
      </c>
      <c r="K119" s="412"/>
      <c r="M119" s="426">
        <v>2</v>
      </c>
      <c r="N119" s="460">
        <v>75</v>
      </c>
      <c r="O119" s="426">
        <v>60</v>
      </c>
      <c r="P119" s="427">
        <v>145</v>
      </c>
      <c r="Q119" s="428">
        <v>60</v>
      </c>
      <c r="R119" s="431">
        <f t="shared" si="7"/>
        <v>123.75</v>
      </c>
      <c r="S119" s="413"/>
      <c r="T119" s="413"/>
      <c r="U119" s="447">
        <v>26</v>
      </c>
      <c r="V119" s="463">
        <f t="shared" si="8"/>
        <v>40</v>
      </c>
      <c r="W119" s="413"/>
    </row>
    <row r="120" spans="1:23">
      <c r="A120" s="416">
        <v>7</v>
      </c>
      <c r="B120" s="455">
        <v>75</v>
      </c>
      <c r="C120" s="416">
        <v>62</v>
      </c>
      <c r="D120" s="417">
        <v>135</v>
      </c>
      <c r="E120" s="418">
        <v>62</v>
      </c>
      <c r="F120" s="459">
        <f t="shared" si="6"/>
        <v>114.75</v>
      </c>
      <c r="G120" s="412"/>
      <c r="H120" s="412"/>
      <c r="I120" s="421">
        <v>35</v>
      </c>
      <c r="J120" s="456">
        <f t="shared" si="5"/>
        <v>25</v>
      </c>
      <c r="K120" s="412"/>
      <c r="M120" s="426">
        <v>2.5</v>
      </c>
      <c r="N120" s="460">
        <v>75</v>
      </c>
      <c r="O120" s="426">
        <v>61</v>
      </c>
      <c r="P120" s="427">
        <v>145</v>
      </c>
      <c r="Q120" s="428">
        <v>61</v>
      </c>
      <c r="R120" s="431">
        <f t="shared" si="7"/>
        <v>122.625</v>
      </c>
      <c r="S120" s="413"/>
      <c r="T120" s="413"/>
      <c r="U120" s="447">
        <v>27</v>
      </c>
      <c r="V120" s="463">
        <f t="shared" si="8"/>
        <v>38.333333333333329</v>
      </c>
      <c r="W120" s="413"/>
    </row>
    <row r="121" spans="1:23">
      <c r="A121" s="416">
        <v>7.5</v>
      </c>
      <c r="B121" s="455">
        <v>75</v>
      </c>
      <c r="C121" s="416">
        <v>63</v>
      </c>
      <c r="D121" s="417">
        <v>135</v>
      </c>
      <c r="E121" s="418">
        <v>63</v>
      </c>
      <c r="F121" s="459">
        <f t="shared" si="6"/>
        <v>113.0625</v>
      </c>
      <c r="G121" s="412"/>
      <c r="H121" s="412"/>
      <c r="I121" s="421">
        <v>36</v>
      </c>
      <c r="J121" s="456">
        <f t="shared" si="5"/>
        <v>23.333333333333332</v>
      </c>
      <c r="K121" s="412"/>
      <c r="M121" s="426">
        <v>3</v>
      </c>
      <c r="N121" s="460">
        <v>75</v>
      </c>
      <c r="O121" s="426">
        <v>62</v>
      </c>
      <c r="P121" s="427">
        <v>145</v>
      </c>
      <c r="Q121" s="428">
        <v>62</v>
      </c>
      <c r="R121" s="431">
        <f t="shared" si="7"/>
        <v>121.5</v>
      </c>
      <c r="S121" s="413"/>
      <c r="T121" s="413"/>
      <c r="U121" s="447">
        <v>28</v>
      </c>
      <c r="V121" s="463">
        <f t="shared" si="8"/>
        <v>36.666666666666664</v>
      </c>
      <c r="W121" s="413"/>
    </row>
    <row r="122" spans="1:23">
      <c r="A122" s="416">
        <v>8</v>
      </c>
      <c r="B122" s="455">
        <v>75</v>
      </c>
      <c r="C122" s="416">
        <v>64</v>
      </c>
      <c r="D122" s="417">
        <v>135</v>
      </c>
      <c r="E122" s="418">
        <v>64</v>
      </c>
      <c r="F122" s="459">
        <f t="shared" si="6"/>
        <v>111.375</v>
      </c>
      <c r="G122" s="412"/>
      <c r="H122" s="412"/>
      <c r="I122" s="421">
        <v>37</v>
      </c>
      <c r="J122" s="456">
        <f t="shared" si="5"/>
        <v>21.666666666666664</v>
      </c>
      <c r="K122" s="412"/>
      <c r="M122" s="426">
        <v>3.5</v>
      </c>
      <c r="N122" s="460">
        <v>75</v>
      </c>
      <c r="O122" s="426">
        <v>63</v>
      </c>
      <c r="P122" s="427">
        <v>145</v>
      </c>
      <c r="Q122" s="428">
        <v>63</v>
      </c>
      <c r="R122" s="431">
        <f t="shared" si="7"/>
        <v>120.375</v>
      </c>
      <c r="S122" s="413"/>
      <c r="T122" s="413"/>
      <c r="U122" s="447">
        <v>29</v>
      </c>
      <c r="V122" s="463">
        <f t="shared" si="8"/>
        <v>35</v>
      </c>
      <c r="W122" s="413"/>
    </row>
    <row r="123" spans="1:23">
      <c r="A123" s="416">
        <v>8.5</v>
      </c>
      <c r="B123" s="455">
        <v>75</v>
      </c>
      <c r="C123" s="416">
        <v>65</v>
      </c>
      <c r="D123" s="417">
        <v>135</v>
      </c>
      <c r="E123" s="418">
        <v>65</v>
      </c>
      <c r="F123" s="459">
        <f t="shared" si="6"/>
        <v>109.6875</v>
      </c>
      <c r="G123" s="412"/>
      <c r="H123" s="412"/>
      <c r="I123" s="421">
        <v>38</v>
      </c>
      <c r="J123" s="456">
        <f t="shared" si="5"/>
        <v>20</v>
      </c>
      <c r="K123" s="412"/>
      <c r="M123" s="426">
        <v>4</v>
      </c>
      <c r="N123" s="460">
        <v>75</v>
      </c>
      <c r="O123" s="426">
        <v>64</v>
      </c>
      <c r="P123" s="427">
        <v>145</v>
      </c>
      <c r="Q123" s="428">
        <v>64</v>
      </c>
      <c r="R123" s="431">
        <f t="shared" si="7"/>
        <v>119.25</v>
      </c>
      <c r="S123" s="413"/>
      <c r="T123" s="413"/>
      <c r="U123" s="447">
        <v>30</v>
      </c>
      <c r="V123" s="463">
        <f t="shared" si="8"/>
        <v>33.333333333333329</v>
      </c>
      <c r="W123" s="413"/>
    </row>
    <row r="124" spans="1:23">
      <c r="A124" s="416">
        <v>9</v>
      </c>
      <c r="B124" s="455">
        <v>75</v>
      </c>
      <c r="C124" s="416">
        <v>66</v>
      </c>
      <c r="D124" s="417">
        <v>135</v>
      </c>
      <c r="E124" s="418">
        <v>66</v>
      </c>
      <c r="F124" s="459">
        <f t="shared" si="6"/>
        <v>108</v>
      </c>
      <c r="G124" s="412"/>
      <c r="H124" s="412"/>
      <c r="I124" s="421">
        <v>39</v>
      </c>
      <c r="J124" s="456">
        <f t="shared" si="5"/>
        <v>18.333333333333332</v>
      </c>
      <c r="K124" s="412"/>
      <c r="M124" s="426">
        <v>4.5</v>
      </c>
      <c r="N124" s="460">
        <v>75</v>
      </c>
      <c r="O124" s="426">
        <v>65</v>
      </c>
      <c r="P124" s="427">
        <v>145</v>
      </c>
      <c r="Q124" s="428">
        <v>65</v>
      </c>
      <c r="R124" s="431">
        <f t="shared" si="7"/>
        <v>118.125</v>
      </c>
      <c r="S124" s="413"/>
      <c r="T124" s="413"/>
      <c r="U124" s="447">
        <v>31</v>
      </c>
      <c r="V124" s="463">
        <f t="shared" si="8"/>
        <v>31.666666666666664</v>
      </c>
      <c r="W124" s="413"/>
    </row>
    <row r="125" spans="1:23">
      <c r="A125" s="416">
        <v>9.5</v>
      </c>
      <c r="B125" s="455">
        <v>75</v>
      </c>
      <c r="C125" s="416">
        <v>67</v>
      </c>
      <c r="D125" s="417">
        <v>135</v>
      </c>
      <c r="E125" s="418">
        <v>67</v>
      </c>
      <c r="F125" s="459">
        <f t="shared" si="6"/>
        <v>106.3125</v>
      </c>
      <c r="G125" s="412"/>
      <c r="H125" s="412"/>
      <c r="I125" s="421">
        <v>40</v>
      </c>
      <c r="J125" s="456">
        <f t="shared" si="5"/>
        <v>16.666666666666664</v>
      </c>
      <c r="K125" s="412"/>
      <c r="M125" s="426">
        <v>5</v>
      </c>
      <c r="N125" s="460">
        <v>75</v>
      </c>
      <c r="O125" s="426">
        <v>66</v>
      </c>
      <c r="P125" s="427">
        <v>145</v>
      </c>
      <c r="Q125" s="428">
        <v>66</v>
      </c>
      <c r="R125" s="431">
        <f t="shared" si="7"/>
        <v>117</v>
      </c>
      <c r="S125" s="413"/>
      <c r="T125" s="413"/>
      <c r="U125" s="447">
        <v>32</v>
      </c>
      <c r="V125" s="463">
        <f t="shared" si="8"/>
        <v>30</v>
      </c>
      <c r="W125" s="413"/>
    </row>
    <row r="126" spans="1:23">
      <c r="A126" s="416">
        <v>10</v>
      </c>
      <c r="B126" s="455">
        <v>75</v>
      </c>
      <c r="C126" s="416">
        <v>68</v>
      </c>
      <c r="D126" s="417">
        <v>135</v>
      </c>
      <c r="E126" s="418">
        <v>68</v>
      </c>
      <c r="F126" s="459">
        <f t="shared" si="6"/>
        <v>104.625</v>
      </c>
      <c r="G126" s="412"/>
      <c r="H126" s="412"/>
      <c r="I126" s="421">
        <v>41</v>
      </c>
      <c r="J126" s="456">
        <f t="shared" si="5"/>
        <v>15</v>
      </c>
      <c r="K126" s="412"/>
      <c r="M126" s="426">
        <v>5.5</v>
      </c>
      <c r="N126" s="460">
        <v>75</v>
      </c>
      <c r="O126" s="426">
        <v>67</v>
      </c>
      <c r="P126" s="427">
        <v>145</v>
      </c>
      <c r="Q126" s="428">
        <v>67</v>
      </c>
      <c r="R126" s="431">
        <f t="shared" si="7"/>
        <v>115.875</v>
      </c>
      <c r="S126" s="413"/>
      <c r="T126" s="413"/>
      <c r="U126" s="447">
        <v>33</v>
      </c>
      <c r="V126" s="463">
        <f t="shared" si="8"/>
        <v>28.333333333333332</v>
      </c>
      <c r="W126" s="413"/>
    </row>
    <row r="127" spans="1:23">
      <c r="A127" s="416">
        <v>10.5</v>
      </c>
      <c r="B127" s="464">
        <f t="shared" ref="B127:B176" si="9">((0-75)/(22.4+((35-22.4)/(0.5-0.2))*(0.5-0.2)-10))*(A127-(22.4+((35-22.4)/(0.5-0.2))*(0.5-0.2)))</f>
        <v>73.5</v>
      </c>
      <c r="C127" s="416">
        <v>69</v>
      </c>
      <c r="D127" s="417">
        <v>135</v>
      </c>
      <c r="E127" s="418">
        <v>69</v>
      </c>
      <c r="F127" s="459">
        <f t="shared" si="6"/>
        <v>102.9375</v>
      </c>
      <c r="G127" s="412"/>
      <c r="H127" s="412"/>
      <c r="I127" s="421">
        <v>42</v>
      </c>
      <c r="J127" s="456">
        <f t="shared" si="5"/>
        <v>13.333333333333329</v>
      </c>
      <c r="K127" s="412"/>
      <c r="M127" s="426">
        <v>6</v>
      </c>
      <c r="N127" s="460">
        <v>75</v>
      </c>
      <c r="O127" s="426">
        <v>68</v>
      </c>
      <c r="P127" s="427">
        <v>145</v>
      </c>
      <c r="Q127" s="428">
        <v>68</v>
      </c>
      <c r="R127" s="431">
        <f t="shared" si="7"/>
        <v>114.75</v>
      </c>
      <c r="S127" s="413"/>
      <c r="T127" s="413"/>
      <c r="U127" s="447">
        <v>34</v>
      </c>
      <c r="V127" s="463">
        <f t="shared" si="8"/>
        <v>26.666666666666664</v>
      </c>
      <c r="W127" s="413"/>
    </row>
    <row r="128" spans="1:23">
      <c r="A128" s="416">
        <v>11</v>
      </c>
      <c r="B128" s="464">
        <f t="shared" si="9"/>
        <v>72</v>
      </c>
      <c r="C128" s="416">
        <v>70</v>
      </c>
      <c r="D128" s="417">
        <f t="shared" ref="D128:D191" si="10">135+(0+-135)/(220-70)*(C128-70)</f>
        <v>135</v>
      </c>
      <c r="E128" s="418">
        <v>70</v>
      </c>
      <c r="F128" s="459">
        <f t="shared" si="6"/>
        <v>101.25</v>
      </c>
      <c r="G128" s="412"/>
      <c r="H128" s="412"/>
      <c r="I128" s="421">
        <v>43</v>
      </c>
      <c r="J128" s="456">
        <f t="shared" si="5"/>
        <v>11.666666666666664</v>
      </c>
      <c r="K128" s="412"/>
      <c r="M128" s="426">
        <v>6.5</v>
      </c>
      <c r="N128" s="460">
        <v>75</v>
      </c>
      <c r="O128" s="426">
        <v>69</v>
      </c>
      <c r="P128" s="427">
        <v>145</v>
      </c>
      <c r="Q128" s="428">
        <v>69</v>
      </c>
      <c r="R128" s="431">
        <f t="shared" si="7"/>
        <v>113.625</v>
      </c>
      <c r="S128" s="413"/>
      <c r="T128" s="413"/>
      <c r="U128" s="447">
        <v>35</v>
      </c>
      <c r="V128" s="463">
        <f t="shared" si="8"/>
        <v>25</v>
      </c>
      <c r="W128" s="413"/>
    </row>
    <row r="129" spans="1:23">
      <c r="A129" s="416">
        <v>11.5</v>
      </c>
      <c r="B129" s="464">
        <f t="shared" si="9"/>
        <v>70.5</v>
      </c>
      <c r="C129" s="416">
        <v>71</v>
      </c>
      <c r="D129" s="417">
        <f t="shared" si="10"/>
        <v>134.1</v>
      </c>
      <c r="E129" s="418">
        <v>71</v>
      </c>
      <c r="F129" s="459">
        <f t="shared" si="6"/>
        <v>99.5625</v>
      </c>
      <c r="G129" s="412"/>
      <c r="H129" s="412"/>
      <c r="I129" s="421">
        <v>44</v>
      </c>
      <c r="J129" s="456">
        <f t="shared" si="5"/>
        <v>10</v>
      </c>
      <c r="K129" s="412"/>
      <c r="M129" s="426">
        <v>7</v>
      </c>
      <c r="N129" s="460">
        <v>75</v>
      </c>
      <c r="O129" s="426">
        <v>70</v>
      </c>
      <c r="P129" s="427">
        <v>145</v>
      </c>
      <c r="Q129" s="428">
        <v>70</v>
      </c>
      <c r="R129" s="431">
        <f t="shared" si="7"/>
        <v>112.5</v>
      </c>
      <c r="S129" s="413"/>
      <c r="T129" s="413"/>
      <c r="U129" s="447">
        <v>36</v>
      </c>
      <c r="V129" s="463">
        <f t="shared" si="8"/>
        <v>23.333333333333332</v>
      </c>
      <c r="W129" s="413"/>
    </row>
    <row r="130" spans="1:23">
      <c r="A130" s="416">
        <v>12</v>
      </c>
      <c r="B130" s="464">
        <f t="shared" si="9"/>
        <v>69</v>
      </c>
      <c r="C130" s="416">
        <v>72</v>
      </c>
      <c r="D130" s="417">
        <f t="shared" si="10"/>
        <v>133.19999999999999</v>
      </c>
      <c r="E130" s="418">
        <v>72</v>
      </c>
      <c r="F130" s="459">
        <f t="shared" si="6"/>
        <v>97.875</v>
      </c>
      <c r="G130" s="412"/>
      <c r="H130" s="412"/>
      <c r="I130" s="421">
        <v>45</v>
      </c>
      <c r="J130" s="456">
        <f t="shared" si="5"/>
        <v>8.3333333333333286</v>
      </c>
      <c r="K130" s="412"/>
      <c r="M130" s="426">
        <v>7.5</v>
      </c>
      <c r="N130" s="460">
        <v>75</v>
      </c>
      <c r="O130" s="426">
        <v>71</v>
      </c>
      <c r="P130" s="427">
        <v>145</v>
      </c>
      <c r="Q130" s="428">
        <v>71</v>
      </c>
      <c r="R130" s="431">
        <f t="shared" si="7"/>
        <v>111.375</v>
      </c>
      <c r="S130" s="413"/>
      <c r="T130" s="413"/>
      <c r="U130" s="447">
        <v>37</v>
      </c>
      <c r="V130" s="463">
        <f t="shared" si="8"/>
        <v>21.666666666666664</v>
      </c>
      <c r="W130" s="413"/>
    </row>
    <row r="131" spans="1:23">
      <c r="A131" s="416">
        <v>12.5</v>
      </c>
      <c r="B131" s="464">
        <f t="shared" si="9"/>
        <v>67.5</v>
      </c>
      <c r="C131" s="416">
        <v>73</v>
      </c>
      <c r="D131" s="417">
        <f t="shared" si="10"/>
        <v>132.30000000000001</v>
      </c>
      <c r="E131" s="418">
        <v>73</v>
      </c>
      <c r="F131" s="459">
        <f t="shared" si="6"/>
        <v>96.1875</v>
      </c>
      <c r="G131" s="412"/>
      <c r="H131" s="412"/>
      <c r="I131" s="421">
        <v>46</v>
      </c>
      <c r="J131" s="456">
        <f t="shared" si="5"/>
        <v>6.6666666666666643</v>
      </c>
      <c r="K131" s="412"/>
      <c r="M131" s="426">
        <v>8</v>
      </c>
      <c r="N131" s="460">
        <v>75</v>
      </c>
      <c r="O131" s="426">
        <v>72</v>
      </c>
      <c r="P131" s="427">
        <v>145</v>
      </c>
      <c r="Q131" s="428">
        <v>72</v>
      </c>
      <c r="R131" s="431">
        <f t="shared" si="7"/>
        <v>110.25</v>
      </c>
      <c r="S131" s="413"/>
      <c r="T131" s="413"/>
      <c r="U131" s="447">
        <v>38</v>
      </c>
      <c r="V131" s="463">
        <f t="shared" si="8"/>
        <v>20</v>
      </c>
      <c r="W131" s="413"/>
    </row>
    <row r="132" spans="1:23">
      <c r="A132" s="416">
        <v>13</v>
      </c>
      <c r="B132" s="464">
        <f t="shared" si="9"/>
        <v>66</v>
      </c>
      <c r="C132" s="416">
        <v>74</v>
      </c>
      <c r="D132" s="417">
        <f t="shared" si="10"/>
        <v>131.4</v>
      </c>
      <c r="E132" s="418">
        <v>74</v>
      </c>
      <c r="F132" s="459">
        <f t="shared" si="6"/>
        <v>94.5</v>
      </c>
      <c r="G132" s="412"/>
      <c r="H132" s="412"/>
      <c r="I132" s="421">
        <v>47</v>
      </c>
      <c r="J132" s="456">
        <f t="shared" si="5"/>
        <v>5</v>
      </c>
      <c r="K132" s="412"/>
      <c r="M132" s="426">
        <v>8.5</v>
      </c>
      <c r="N132" s="460">
        <v>75</v>
      </c>
      <c r="O132" s="426">
        <v>73</v>
      </c>
      <c r="P132" s="427">
        <v>145</v>
      </c>
      <c r="Q132" s="428">
        <v>73</v>
      </c>
      <c r="R132" s="431">
        <f t="shared" si="7"/>
        <v>109.125</v>
      </c>
      <c r="S132" s="413"/>
      <c r="T132" s="413"/>
      <c r="U132" s="447">
        <v>39</v>
      </c>
      <c r="V132" s="463">
        <f t="shared" si="8"/>
        <v>18.333333333333332</v>
      </c>
      <c r="W132" s="413"/>
    </row>
    <row r="133" spans="1:23">
      <c r="A133" s="416">
        <v>13.5</v>
      </c>
      <c r="B133" s="464">
        <f t="shared" si="9"/>
        <v>64.5</v>
      </c>
      <c r="C133" s="416">
        <v>75</v>
      </c>
      <c r="D133" s="417">
        <f t="shared" si="10"/>
        <v>130.5</v>
      </c>
      <c r="E133" s="418">
        <v>75</v>
      </c>
      <c r="F133" s="459">
        <f t="shared" si="6"/>
        <v>92.8125</v>
      </c>
      <c r="G133" s="412"/>
      <c r="H133" s="412"/>
      <c r="I133" s="421">
        <v>48</v>
      </c>
      <c r="J133" s="456">
        <f t="shared" si="5"/>
        <v>3.3333333333333286</v>
      </c>
      <c r="K133" s="412"/>
      <c r="M133" s="426">
        <v>9</v>
      </c>
      <c r="N133" s="460">
        <v>75</v>
      </c>
      <c r="O133" s="426">
        <v>74</v>
      </c>
      <c r="P133" s="427">
        <v>145</v>
      </c>
      <c r="Q133" s="428">
        <v>74</v>
      </c>
      <c r="R133" s="431">
        <f t="shared" si="7"/>
        <v>108</v>
      </c>
      <c r="S133" s="413"/>
      <c r="T133" s="413"/>
      <c r="U133" s="447">
        <v>40</v>
      </c>
      <c r="V133" s="463">
        <f t="shared" si="8"/>
        <v>16.666666666666664</v>
      </c>
      <c r="W133" s="413"/>
    </row>
    <row r="134" spans="1:23">
      <c r="A134" s="416">
        <v>14</v>
      </c>
      <c r="B134" s="464">
        <f t="shared" si="9"/>
        <v>63</v>
      </c>
      <c r="C134" s="416">
        <v>76</v>
      </c>
      <c r="D134" s="417">
        <f t="shared" si="10"/>
        <v>129.6</v>
      </c>
      <c r="E134" s="418">
        <v>76</v>
      </c>
      <c r="F134" s="459">
        <f t="shared" si="6"/>
        <v>91.125</v>
      </c>
      <c r="G134" s="412"/>
      <c r="H134" s="412"/>
      <c r="I134" s="421">
        <v>49</v>
      </c>
      <c r="J134" s="456">
        <f t="shared" si="5"/>
        <v>1.6666666666666643</v>
      </c>
      <c r="K134" s="412"/>
      <c r="M134" s="426">
        <v>9.5</v>
      </c>
      <c r="N134" s="460">
        <v>75</v>
      </c>
      <c r="O134" s="426">
        <v>75</v>
      </c>
      <c r="P134" s="427">
        <v>145</v>
      </c>
      <c r="Q134" s="428">
        <v>75</v>
      </c>
      <c r="R134" s="431">
        <f t="shared" si="7"/>
        <v>106.875</v>
      </c>
      <c r="S134" s="413"/>
      <c r="T134" s="413"/>
      <c r="U134" s="447">
        <v>41</v>
      </c>
      <c r="V134" s="463">
        <f t="shared" si="8"/>
        <v>15</v>
      </c>
      <c r="W134" s="413"/>
    </row>
    <row r="135" spans="1:23">
      <c r="A135" s="416">
        <v>14.5</v>
      </c>
      <c r="B135" s="464">
        <f t="shared" si="9"/>
        <v>61.5</v>
      </c>
      <c r="C135" s="416">
        <v>77</v>
      </c>
      <c r="D135" s="417">
        <f t="shared" si="10"/>
        <v>128.69999999999999</v>
      </c>
      <c r="E135" s="418">
        <v>77</v>
      </c>
      <c r="F135" s="459">
        <f t="shared" si="6"/>
        <v>89.4375</v>
      </c>
      <c r="G135" s="412"/>
      <c r="H135" s="412"/>
      <c r="I135" s="465">
        <v>50</v>
      </c>
      <c r="J135" s="466">
        <f t="shared" si="5"/>
        <v>0</v>
      </c>
      <c r="K135" s="412"/>
      <c r="M135" s="426">
        <v>10</v>
      </c>
      <c r="N135" s="460">
        <v>75</v>
      </c>
      <c r="O135" s="426">
        <v>76</v>
      </c>
      <c r="P135" s="427">
        <v>145</v>
      </c>
      <c r="Q135" s="428">
        <v>76</v>
      </c>
      <c r="R135" s="431">
        <f t="shared" si="7"/>
        <v>105.75</v>
      </c>
      <c r="S135" s="413"/>
      <c r="T135" s="413"/>
      <c r="U135" s="447">
        <v>42</v>
      </c>
      <c r="V135" s="463">
        <f t="shared" si="8"/>
        <v>13.333333333333329</v>
      </c>
      <c r="W135" s="413"/>
    </row>
    <row r="136" spans="1:23">
      <c r="A136" s="416">
        <v>15</v>
      </c>
      <c r="B136" s="464">
        <f t="shared" si="9"/>
        <v>60</v>
      </c>
      <c r="C136" s="416">
        <v>78</v>
      </c>
      <c r="D136" s="417">
        <f t="shared" si="10"/>
        <v>127.8</v>
      </c>
      <c r="E136" s="418">
        <v>78</v>
      </c>
      <c r="F136" s="459">
        <f t="shared" si="6"/>
        <v>87.75</v>
      </c>
      <c r="G136" s="412"/>
      <c r="H136" s="412"/>
      <c r="I136" s="412"/>
      <c r="J136" s="412"/>
      <c r="K136" s="412"/>
      <c r="M136" s="426">
        <v>10.5</v>
      </c>
      <c r="N136" s="460">
        <v>75</v>
      </c>
      <c r="O136" s="426">
        <v>77</v>
      </c>
      <c r="P136" s="427">
        <v>145</v>
      </c>
      <c r="Q136" s="428">
        <v>77</v>
      </c>
      <c r="R136" s="431">
        <f t="shared" si="7"/>
        <v>104.625</v>
      </c>
      <c r="S136" s="413"/>
      <c r="T136" s="413"/>
      <c r="U136" s="447">
        <v>43</v>
      </c>
      <c r="V136" s="463">
        <f t="shared" si="8"/>
        <v>11.666666666666664</v>
      </c>
      <c r="W136" s="413"/>
    </row>
    <row r="137" spans="1:23">
      <c r="A137" s="416">
        <v>15.5</v>
      </c>
      <c r="B137" s="464">
        <f t="shared" si="9"/>
        <v>58.5</v>
      </c>
      <c r="C137" s="416">
        <v>79</v>
      </c>
      <c r="D137" s="417">
        <f t="shared" si="10"/>
        <v>126.9</v>
      </c>
      <c r="E137" s="418">
        <v>79</v>
      </c>
      <c r="F137" s="459">
        <f t="shared" si="6"/>
        <v>86.0625</v>
      </c>
      <c r="G137" s="412"/>
      <c r="H137" s="412"/>
      <c r="I137" s="412"/>
      <c r="J137" s="412"/>
      <c r="K137" s="412"/>
      <c r="M137" s="426">
        <v>11</v>
      </c>
      <c r="N137" s="460">
        <v>75</v>
      </c>
      <c r="O137" s="426">
        <v>78</v>
      </c>
      <c r="P137" s="427">
        <v>145</v>
      </c>
      <c r="Q137" s="428">
        <v>78</v>
      </c>
      <c r="R137" s="431">
        <f t="shared" si="7"/>
        <v>103.5</v>
      </c>
      <c r="S137" s="413"/>
      <c r="T137" s="413"/>
      <c r="U137" s="447">
        <v>44</v>
      </c>
      <c r="V137" s="463">
        <f t="shared" si="8"/>
        <v>10</v>
      </c>
      <c r="W137" s="413"/>
    </row>
    <row r="138" spans="1:23">
      <c r="A138" s="416">
        <v>16</v>
      </c>
      <c r="B138" s="464">
        <f t="shared" si="9"/>
        <v>57</v>
      </c>
      <c r="C138" s="416">
        <v>80</v>
      </c>
      <c r="D138" s="417">
        <f t="shared" si="10"/>
        <v>126</v>
      </c>
      <c r="E138" s="418">
        <v>80</v>
      </c>
      <c r="F138" s="459">
        <f t="shared" si="6"/>
        <v>84.375</v>
      </c>
      <c r="G138" s="412"/>
      <c r="H138" s="412"/>
      <c r="I138" s="412"/>
      <c r="J138" s="412"/>
      <c r="K138" s="412"/>
      <c r="M138" s="426">
        <v>11.5</v>
      </c>
      <c r="N138" s="460">
        <v>75</v>
      </c>
      <c r="O138" s="426">
        <v>79</v>
      </c>
      <c r="P138" s="427">
        <v>145</v>
      </c>
      <c r="Q138" s="428">
        <v>79</v>
      </c>
      <c r="R138" s="431">
        <f t="shared" si="7"/>
        <v>102.375</v>
      </c>
      <c r="S138" s="413"/>
      <c r="T138" s="413"/>
      <c r="U138" s="447">
        <v>45</v>
      </c>
      <c r="V138" s="463">
        <f t="shared" si="8"/>
        <v>8.3333333333333286</v>
      </c>
      <c r="W138" s="413"/>
    </row>
    <row r="139" spans="1:23">
      <c r="A139" s="416">
        <v>16.5</v>
      </c>
      <c r="B139" s="464">
        <f t="shared" si="9"/>
        <v>55.5</v>
      </c>
      <c r="C139" s="416">
        <v>81</v>
      </c>
      <c r="D139" s="417">
        <f t="shared" si="10"/>
        <v>125.1</v>
      </c>
      <c r="E139" s="418">
        <v>81</v>
      </c>
      <c r="F139" s="459">
        <f t="shared" si="6"/>
        <v>82.6875</v>
      </c>
      <c r="G139" s="412"/>
      <c r="H139" s="412"/>
      <c r="I139" s="412"/>
      <c r="J139" s="412"/>
      <c r="K139" s="412"/>
      <c r="M139" s="426">
        <v>12</v>
      </c>
      <c r="N139" s="460">
        <v>75</v>
      </c>
      <c r="O139" s="426">
        <v>80</v>
      </c>
      <c r="P139" s="427">
        <v>145</v>
      </c>
      <c r="Q139" s="428">
        <v>80</v>
      </c>
      <c r="R139" s="431">
        <f t="shared" si="7"/>
        <v>101.25</v>
      </c>
      <c r="S139" s="413"/>
      <c r="T139" s="413"/>
      <c r="U139" s="447">
        <v>46</v>
      </c>
      <c r="V139" s="463">
        <f t="shared" si="8"/>
        <v>6.6666666666666643</v>
      </c>
      <c r="W139" s="413"/>
    </row>
    <row r="140" spans="1:23">
      <c r="A140" s="416">
        <v>17</v>
      </c>
      <c r="B140" s="464">
        <f t="shared" si="9"/>
        <v>54</v>
      </c>
      <c r="C140" s="416">
        <v>82</v>
      </c>
      <c r="D140" s="417">
        <f t="shared" si="10"/>
        <v>124.2</v>
      </c>
      <c r="E140" s="418">
        <v>82</v>
      </c>
      <c r="F140" s="459">
        <f t="shared" si="6"/>
        <v>81</v>
      </c>
      <c r="G140" s="412"/>
      <c r="H140" s="412"/>
      <c r="I140" s="412"/>
      <c r="J140" s="412"/>
      <c r="K140" s="412"/>
      <c r="M140" s="426">
        <v>12.5</v>
      </c>
      <c r="N140" s="460">
        <v>75</v>
      </c>
      <c r="O140" s="426">
        <v>81</v>
      </c>
      <c r="P140" s="427">
        <v>145</v>
      </c>
      <c r="Q140" s="428">
        <v>81</v>
      </c>
      <c r="R140" s="431">
        <f t="shared" si="7"/>
        <v>100.125</v>
      </c>
      <c r="S140" s="413"/>
      <c r="T140" s="413"/>
      <c r="U140" s="447">
        <v>47</v>
      </c>
      <c r="V140" s="463">
        <f t="shared" si="8"/>
        <v>5</v>
      </c>
      <c r="W140" s="413"/>
    </row>
    <row r="141" spans="1:23">
      <c r="A141" s="416">
        <v>17.5</v>
      </c>
      <c r="B141" s="464">
        <f t="shared" si="9"/>
        <v>52.5</v>
      </c>
      <c r="C141" s="416">
        <v>83</v>
      </c>
      <c r="D141" s="417">
        <f t="shared" si="10"/>
        <v>123.3</v>
      </c>
      <c r="E141" s="418">
        <v>83</v>
      </c>
      <c r="F141" s="459">
        <f t="shared" si="6"/>
        <v>79.3125</v>
      </c>
      <c r="G141" s="412"/>
      <c r="H141" s="412"/>
      <c r="I141" s="412"/>
      <c r="J141" s="412"/>
      <c r="K141" s="412"/>
      <c r="M141" s="426">
        <v>13</v>
      </c>
      <c r="N141" s="460">
        <v>75</v>
      </c>
      <c r="O141" s="426">
        <v>82</v>
      </c>
      <c r="P141" s="427">
        <v>145</v>
      </c>
      <c r="Q141" s="428">
        <v>82</v>
      </c>
      <c r="R141" s="431">
        <f t="shared" si="7"/>
        <v>99</v>
      </c>
      <c r="S141" s="413"/>
      <c r="T141" s="413"/>
      <c r="U141" s="447">
        <v>48</v>
      </c>
      <c r="V141" s="463">
        <f t="shared" si="8"/>
        <v>3.3333333333333286</v>
      </c>
      <c r="W141" s="413"/>
    </row>
    <row r="142" spans="1:23">
      <c r="A142" s="416">
        <v>18</v>
      </c>
      <c r="B142" s="464">
        <f t="shared" si="9"/>
        <v>51</v>
      </c>
      <c r="C142" s="416">
        <v>84</v>
      </c>
      <c r="D142" s="417">
        <f t="shared" si="10"/>
        <v>122.4</v>
      </c>
      <c r="E142" s="418">
        <v>84</v>
      </c>
      <c r="F142" s="459">
        <f t="shared" si="6"/>
        <v>77.625</v>
      </c>
      <c r="G142" s="412"/>
      <c r="H142" s="412"/>
      <c r="I142" s="412"/>
      <c r="J142" s="412"/>
      <c r="K142" s="412"/>
      <c r="M142" s="426">
        <v>13.5</v>
      </c>
      <c r="N142" s="460">
        <v>75</v>
      </c>
      <c r="O142" s="426">
        <v>83</v>
      </c>
      <c r="P142" s="427">
        <v>145</v>
      </c>
      <c r="Q142" s="428">
        <v>83</v>
      </c>
      <c r="R142" s="431">
        <f t="shared" si="7"/>
        <v>97.875</v>
      </c>
      <c r="S142" s="413"/>
      <c r="T142" s="413"/>
      <c r="U142" s="447">
        <v>49</v>
      </c>
      <c r="V142" s="463">
        <f t="shared" si="8"/>
        <v>1.6666666666666643</v>
      </c>
      <c r="W142" s="413"/>
    </row>
    <row r="143" spans="1:23">
      <c r="A143" s="416">
        <v>18.5</v>
      </c>
      <c r="B143" s="464">
        <f t="shared" si="9"/>
        <v>49.5</v>
      </c>
      <c r="C143" s="416">
        <v>85</v>
      </c>
      <c r="D143" s="417">
        <f t="shared" si="10"/>
        <v>121.5</v>
      </c>
      <c r="E143" s="418">
        <v>85</v>
      </c>
      <c r="F143" s="459">
        <f t="shared" si="6"/>
        <v>75.9375</v>
      </c>
      <c r="G143" s="412"/>
      <c r="H143" s="412"/>
      <c r="I143" s="412"/>
      <c r="J143" s="412"/>
      <c r="K143" s="412"/>
      <c r="M143" s="426">
        <v>14</v>
      </c>
      <c r="N143" s="460">
        <v>75</v>
      </c>
      <c r="O143" s="426">
        <v>84</v>
      </c>
      <c r="P143" s="427">
        <v>145</v>
      </c>
      <c r="Q143" s="428">
        <v>84</v>
      </c>
      <c r="R143" s="431">
        <f t="shared" si="7"/>
        <v>96.75</v>
      </c>
      <c r="S143" s="413"/>
      <c r="T143" s="413"/>
      <c r="U143" s="467">
        <v>50</v>
      </c>
      <c r="V143" s="468">
        <f t="shared" si="8"/>
        <v>0</v>
      </c>
      <c r="W143" s="413"/>
    </row>
    <row r="144" spans="1:23">
      <c r="A144" s="416">
        <v>19</v>
      </c>
      <c r="B144" s="464">
        <f t="shared" si="9"/>
        <v>48</v>
      </c>
      <c r="C144" s="416">
        <v>86</v>
      </c>
      <c r="D144" s="417">
        <f t="shared" si="10"/>
        <v>120.6</v>
      </c>
      <c r="E144" s="418">
        <v>86</v>
      </c>
      <c r="F144" s="459">
        <f t="shared" si="6"/>
        <v>74.25</v>
      </c>
      <c r="G144" s="412"/>
      <c r="H144" s="412"/>
      <c r="I144" s="412"/>
      <c r="J144" s="412"/>
      <c r="K144" s="412"/>
      <c r="M144" s="426">
        <v>14.5</v>
      </c>
      <c r="N144" s="460">
        <v>75</v>
      </c>
      <c r="O144" s="426">
        <v>85</v>
      </c>
      <c r="P144" s="427">
        <v>145</v>
      </c>
      <c r="Q144" s="428">
        <v>85</v>
      </c>
      <c r="R144" s="431">
        <f t="shared" si="7"/>
        <v>95.625</v>
      </c>
      <c r="S144" s="413"/>
      <c r="T144" s="413"/>
      <c r="U144" s="413"/>
      <c r="V144" s="413"/>
      <c r="W144" s="413"/>
    </row>
    <row r="145" spans="1:23">
      <c r="A145" s="416">
        <v>19.5</v>
      </c>
      <c r="B145" s="464">
        <f t="shared" si="9"/>
        <v>46.5</v>
      </c>
      <c r="C145" s="416">
        <v>87</v>
      </c>
      <c r="D145" s="417">
        <f t="shared" si="10"/>
        <v>119.7</v>
      </c>
      <c r="E145" s="418">
        <v>87</v>
      </c>
      <c r="F145" s="459">
        <f t="shared" si="6"/>
        <v>72.5625</v>
      </c>
      <c r="G145" s="412"/>
      <c r="H145" s="412"/>
      <c r="I145" s="412"/>
      <c r="J145" s="412"/>
      <c r="K145" s="412"/>
      <c r="M145" s="426">
        <v>15</v>
      </c>
      <c r="N145" s="460">
        <v>75</v>
      </c>
      <c r="O145" s="426">
        <v>86</v>
      </c>
      <c r="P145" s="427">
        <v>145</v>
      </c>
      <c r="Q145" s="428">
        <v>86</v>
      </c>
      <c r="R145" s="431">
        <f t="shared" si="7"/>
        <v>94.5</v>
      </c>
      <c r="S145" s="413"/>
      <c r="T145" s="413"/>
      <c r="U145" s="413"/>
      <c r="V145" s="413"/>
      <c r="W145" s="413"/>
    </row>
    <row r="146" spans="1:23">
      <c r="A146" s="416">
        <v>20</v>
      </c>
      <c r="B146" s="464">
        <f t="shared" si="9"/>
        <v>45</v>
      </c>
      <c r="C146" s="416">
        <v>88</v>
      </c>
      <c r="D146" s="417">
        <f t="shared" si="10"/>
        <v>118.8</v>
      </c>
      <c r="E146" s="418">
        <v>88</v>
      </c>
      <c r="F146" s="459">
        <f t="shared" si="6"/>
        <v>70.875</v>
      </c>
      <c r="G146" s="412"/>
      <c r="H146" s="412"/>
      <c r="I146" s="412"/>
      <c r="J146" s="412"/>
      <c r="K146" s="412"/>
      <c r="M146" s="426">
        <v>15.5</v>
      </c>
      <c r="N146" s="440">
        <f t="shared" ref="N146:N199" si="11">((0-75)/(27+((42-27)/(0.5-0.2))*(0.5-0.2)-15))*(M146-(27+((42-27)/(0.5-0.2))*(0.5-0.2)))</f>
        <v>73.611111111111114</v>
      </c>
      <c r="O146" s="426">
        <v>87</v>
      </c>
      <c r="P146" s="427">
        <v>145</v>
      </c>
      <c r="Q146" s="428">
        <v>87</v>
      </c>
      <c r="R146" s="431">
        <f t="shared" si="7"/>
        <v>93.375</v>
      </c>
      <c r="S146" s="413"/>
      <c r="T146" s="413"/>
      <c r="U146" s="413"/>
      <c r="V146" s="413"/>
      <c r="W146" s="413"/>
    </row>
    <row r="147" spans="1:23">
      <c r="A147" s="416">
        <v>20.5</v>
      </c>
      <c r="B147" s="464">
        <f t="shared" si="9"/>
        <v>43.5</v>
      </c>
      <c r="C147" s="416">
        <v>89</v>
      </c>
      <c r="D147" s="417">
        <f t="shared" si="10"/>
        <v>117.9</v>
      </c>
      <c r="E147" s="418">
        <v>89</v>
      </c>
      <c r="F147" s="459">
        <f t="shared" si="6"/>
        <v>69.1875</v>
      </c>
      <c r="G147" s="412"/>
      <c r="H147" s="412"/>
      <c r="I147" s="412"/>
      <c r="J147" s="412"/>
      <c r="K147" s="412"/>
      <c r="M147" s="426">
        <v>16</v>
      </c>
      <c r="N147" s="440">
        <f t="shared" si="11"/>
        <v>72.222222222222214</v>
      </c>
      <c r="O147" s="426">
        <v>88</v>
      </c>
      <c r="P147" s="427">
        <v>145</v>
      </c>
      <c r="Q147" s="428">
        <v>88</v>
      </c>
      <c r="R147" s="431">
        <f t="shared" si="7"/>
        <v>92.25</v>
      </c>
      <c r="S147" s="413"/>
      <c r="T147" s="413"/>
      <c r="U147" s="413"/>
      <c r="V147" s="413"/>
      <c r="W147" s="413"/>
    </row>
    <row r="148" spans="1:23">
      <c r="A148" s="416">
        <v>21</v>
      </c>
      <c r="B148" s="464">
        <f t="shared" si="9"/>
        <v>42</v>
      </c>
      <c r="C148" s="416">
        <v>90</v>
      </c>
      <c r="D148" s="417">
        <f t="shared" si="10"/>
        <v>117</v>
      </c>
      <c r="E148" s="418">
        <v>90</v>
      </c>
      <c r="F148" s="459">
        <f t="shared" si="6"/>
        <v>67.5</v>
      </c>
      <c r="G148" s="412"/>
      <c r="H148" s="412"/>
      <c r="I148" s="412"/>
      <c r="J148" s="412"/>
      <c r="K148" s="412"/>
      <c r="M148" s="426">
        <v>16.5</v>
      </c>
      <c r="N148" s="440">
        <f t="shared" si="11"/>
        <v>70.833333333333329</v>
      </c>
      <c r="O148" s="426">
        <v>89</v>
      </c>
      <c r="P148" s="427">
        <v>145</v>
      </c>
      <c r="Q148" s="428">
        <v>89</v>
      </c>
      <c r="R148" s="431">
        <f t="shared" si="7"/>
        <v>91.125</v>
      </c>
      <c r="S148" s="413"/>
      <c r="T148" s="413"/>
      <c r="U148" s="413"/>
      <c r="V148" s="413"/>
      <c r="W148" s="413"/>
    </row>
    <row r="149" spans="1:23">
      <c r="A149" s="416">
        <v>21.5</v>
      </c>
      <c r="B149" s="464">
        <f t="shared" si="9"/>
        <v>40.5</v>
      </c>
      <c r="C149" s="416">
        <v>91</v>
      </c>
      <c r="D149" s="417">
        <f t="shared" si="10"/>
        <v>116.1</v>
      </c>
      <c r="E149" s="418">
        <v>91</v>
      </c>
      <c r="F149" s="459">
        <f t="shared" si="6"/>
        <v>65.8125</v>
      </c>
      <c r="G149" s="412"/>
      <c r="H149" s="412"/>
      <c r="I149" s="412"/>
      <c r="J149" s="412"/>
      <c r="K149" s="412"/>
      <c r="M149" s="426">
        <v>17</v>
      </c>
      <c r="N149" s="440">
        <f t="shared" si="11"/>
        <v>69.444444444444443</v>
      </c>
      <c r="O149" s="426">
        <v>90</v>
      </c>
      <c r="P149" s="427">
        <v>145</v>
      </c>
      <c r="Q149" s="428">
        <v>90</v>
      </c>
      <c r="R149" s="431">
        <f t="shared" si="7"/>
        <v>90</v>
      </c>
      <c r="S149" s="413"/>
      <c r="T149" s="413"/>
      <c r="U149" s="413"/>
      <c r="V149" s="413"/>
      <c r="W149" s="413"/>
    </row>
    <row r="150" spans="1:23">
      <c r="A150" s="416">
        <v>22</v>
      </c>
      <c r="B150" s="464">
        <f t="shared" si="9"/>
        <v>39</v>
      </c>
      <c r="C150" s="416">
        <v>92</v>
      </c>
      <c r="D150" s="417">
        <f t="shared" si="10"/>
        <v>115.2</v>
      </c>
      <c r="E150" s="418">
        <v>92</v>
      </c>
      <c r="F150" s="459">
        <f t="shared" si="6"/>
        <v>64.125</v>
      </c>
      <c r="G150" s="412"/>
      <c r="H150" s="412"/>
      <c r="I150" s="412"/>
      <c r="J150" s="412"/>
      <c r="K150" s="412"/>
      <c r="M150" s="426">
        <v>17.5</v>
      </c>
      <c r="N150" s="440">
        <f t="shared" si="11"/>
        <v>68.055555555555557</v>
      </c>
      <c r="O150" s="426">
        <v>91</v>
      </c>
      <c r="P150" s="440">
        <v>144.03333333333333</v>
      </c>
      <c r="Q150" s="428">
        <v>91</v>
      </c>
      <c r="R150" s="431">
        <f t="shared" si="7"/>
        <v>88.875</v>
      </c>
      <c r="S150" s="413"/>
      <c r="T150" s="413"/>
      <c r="U150" s="413"/>
      <c r="V150" s="413"/>
      <c r="W150" s="413"/>
    </row>
    <row r="151" spans="1:23">
      <c r="A151" s="416">
        <v>22.5</v>
      </c>
      <c r="B151" s="464">
        <f t="shared" si="9"/>
        <v>37.5</v>
      </c>
      <c r="C151" s="416">
        <v>93</v>
      </c>
      <c r="D151" s="417">
        <f t="shared" si="10"/>
        <v>114.3</v>
      </c>
      <c r="E151" s="418">
        <v>93</v>
      </c>
      <c r="F151" s="459">
        <f t="shared" si="6"/>
        <v>62.4375</v>
      </c>
      <c r="G151" s="412"/>
      <c r="H151" s="412"/>
      <c r="I151" s="412"/>
      <c r="J151" s="412"/>
      <c r="K151" s="412"/>
      <c r="M151" s="426">
        <v>18</v>
      </c>
      <c r="N151" s="440">
        <f t="shared" si="11"/>
        <v>66.666666666666657</v>
      </c>
      <c r="O151" s="426">
        <v>92</v>
      </c>
      <c r="P151" s="440">
        <v>143.06666666666666</v>
      </c>
      <c r="Q151" s="428">
        <v>92</v>
      </c>
      <c r="R151" s="431">
        <f t="shared" si="7"/>
        <v>87.75</v>
      </c>
      <c r="S151" s="413"/>
      <c r="T151" s="413"/>
      <c r="U151" s="413"/>
      <c r="V151" s="413"/>
      <c r="W151" s="413"/>
    </row>
    <row r="152" spans="1:23">
      <c r="A152" s="416">
        <v>23</v>
      </c>
      <c r="B152" s="464">
        <f t="shared" si="9"/>
        <v>36</v>
      </c>
      <c r="C152" s="416">
        <v>94</v>
      </c>
      <c r="D152" s="417">
        <f t="shared" si="10"/>
        <v>113.4</v>
      </c>
      <c r="E152" s="418">
        <v>94</v>
      </c>
      <c r="F152" s="459">
        <f t="shared" si="6"/>
        <v>60.75</v>
      </c>
      <c r="G152" s="412"/>
      <c r="H152" s="412"/>
      <c r="I152" s="412"/>
      <c r="J152" s="412"/>
      <c r="K152" s="412"/>
      <c r="M152" s="426">
        <v>18.5</v>
      </c>
      <c r="N152" s="440">
        <f t="shared" si="11"/>
        <v>65.277777777777771</v>
      </c>
      <c r="O152" s="426">
        <v>93</v>
      </c>
      <c r="P152" s="440">
        <v>142.1</v>
      </c>
      <c r="Q152" s="428">
        <v>93</v>
      </c>
      <c r="R152" s="431">
        <f t="shared" si="7"/>
        <v>86.625</v>
      </c>
      <c r="S152" s="413"/>
      <c r="T152" s="413"/>
      <c r="U152" s="413"/>
      <c r="V152" s="413"/>
      <c r="W152" s="413"/>
    </row>
    <row r="153" spans="1:23">
      <c r="A153" s="416">
        <v>23.5</v>
      </c>
      <c r="B153" s="464">
        <f t="shared" si="9"/>
        <v>34.5</v>
      </c>
      <c r="C153" s="416">
        <v>95</v>
      </c>
      <c r="D153" s="417">
        <f t="shared" si="10"/>
        <v>112.5</v>
      </c>
      <c r="E153" s="418">
        <v>95</v>
      </c>
      <c r="F153" s="459">
        <f t="shared" si="6"/>
        <v>59.0625</v>
      </c>
      <c r="G153" s="412"/>
      <c r="H153" s="412"/>
      <c r="I153" s="412"/>
      <c r="J153" s="412"/>
      <c r="K153" s="412"/>
      <c r="M153" s="426">
        <v>19</v>
      </c>
      <c r="N153" s="440">
        <f t="shared" si="11"/>
        <v>63.888888888888886</v>
      </c>
      <c r="O153" s="426">
        <v>94</v>
      </c>
      <c r="P153" s="440">
        <v>141.13333333333333</v>
      </c>
      <c r="Q153" s="428">
        <v>94</v>
      </c>
      <c r="R153" s="431">
        <f t="shared" si="7"/>
        <v>85.5</v>
      </c>
      <c r="S153" s="413"/>
      <c r="T153" s="413"/>
      <c r="U153" s="413"/>
      <c r="V153" s="413"/>
      <c r="W153" s="413"/>
    </row>
    <row r="154" spans="1:23">
      <c r="A154" s="416">
        <v>24</v>
      </c>
      <c r="B154" s="464">
        <f t="shared" si="9"/>
        <v>33</v>
      </c>
      <c r="C154" s="416">
        <v>96</v>
      </c>
      <c r="D154" s="417">
        <f t="shared" si="10"/>
        <v>111.6</v>
      </c>
      <c r="E154" s="418">
        <v>96</v>
      </c>
      <c r="F154" s="459">
        <f t="shared" si="6"/>
        <v>57.375</v>
      </c>
      <c r="G154" s="412"/>
      <c r="H154" s="412"/>
      <c r="I154" s="412"/>
      <c r="J154" s="412"/>
      <c r="K154" s="412"/>
      <c r="M154" s="426">
        <v>19.5</v>
      </c>
      <c r="N154" s="440">
        <f t="shared" si="11"/>
        <v>62.5</v>
      </c>
      <c r="O154" s="426">
        <v>95</v>
      </c>
      <c r="P154" s="440">
        <v>140.16666666666666</v>
      </c>
      <c r="Q154" s="428">
        <v>95</v>
      </c>
      <c r="R154" s="431">
        <f t="shared" si="7"/>
        <v>84.375</v>
      </c>
      <c r="S154" s="413"/>
      <c r="T154" s="413"/>
      <c r="U154" s="413"/>
      <c r="V154" s="413"/>
      <c r="W154" s="413"/>
    </row>
    <row r="155" spans="1:23">
      <c r="A155" s="416">
        <v>24.5</v>
      </c>
      <c r="B155" s="464">
        <f t="shared" si="9"/>
        <v>31.5</v>
      </c>
      <c r="C155" s="416">
        <v>97</v>
      </c>
      <c r="D155" s="417">
        <f t="shared" si="10"/>
        <v>110.7</v>
      </c>
      <c r="E155" s="418">
        <v>97</v>
      </c>
      <c r="F155" s="459">
        <f t="shared" si="6"/>
        <v>55.6875</v>
      </c>
      <c r="G155" s="412"/>
      <c r="H155" s="412"/>
      <c r="I155" s="412"/>
      <c r="J155" s="412"/>
      <c r="K155" s="412"/>
      <c r="M155" s="426">
        <v>20</v>
      </c>
      <c r="N155" s="440">
        <f t="shared" si="11"/>
        <v>61.111111111111107</v>
      </c>
      <c r="O155" s="426">
        <v>96</v>
      </c>
      <c r="P155" s="440">
        <v>139.19999999999999</v>
      </c>
      <c r="Q155" s="428">
        <v>96</v>
      </c>
      <c r="R155" s="431">
        <f t="shared" si="7"/>
        <v>83.25</v>
      </c>
      <c r="S155" s="413"/>
      <c r="T155" s="413"/>
      <c r="U155" s="413"/>
      <c r="V155" s="413"/>
      <c r="W155" s="413"/>
    </row>
    <row r="156" spans="1:23">
      <c r="A156" s="416">
        <v>25</v>
      </c>
      <c r="B156" s="464">
        <f t="shared" si="9"/>
        <v>30</v>
      </c>
      <c r="C156" s="416">
        <v>98</v>
      </c>
      <c r="D156" s="417">
        <f t="shared" si="10"/>
        <v>109.8</v>
      </c>
      <c r="E156" s="418">
        <v>98</v>
      </c>
      <c r="F156" s="459">
        <f t="shared" si="6"/>
        <v>54</v>
      </c>
      <c r="G156" s="412"/>
      <c r="H156" s="412"/>
      <c r="I156" s="412"/>
      <c r="J156" s="412"/>
      <c r="K156" s="412"/>
      <c r="M156" s="426">
        <v>20.5</v>
      </c>
      <c r="N156" s="440">
        <f t="shared" si="11"/>
        <v>59.722222222222221</v>
      </c>
      <c r="O156" s="426">
        <v>97</v>
      </c>
      <c r="P156" s="440">
        <v>138.23333333333332</v>
      </c>
      <c r="Q156" s="428">
        <v>97</v>
      </c>
      <c r="R156" s="431">
        <f t="shared" si="7"/>
        <v>82.125</v>
      </c>
      <c r="S156" s="413"/>
      <c r="T156" s="413"/>
      <c r="U156" s="413"/>
      <c r="V156" s="413"/>
      <c r="W156" s="413"/>
    </row>
    <row r="157" spans="1:23">
      <c r="A157" s="416">
        <v>25.5</v>
      </c>
      <c r="B157" s="464">
        <f t="shared" si="9"/>
        <v>28.5</v>
      </c>
      <c r="C157" s="416">
        <v>99</v>
      </c>
      <c r="D157" s="417">
        <f t="shared" si="10"/>
        <v>108.9</v>
      </c>
      <c r="E157" s="418">
        <v>99</v>
      </c>
      <c r="F157" s="459">
        <f t="shared" si="6"/>
        <v>52.3125</v>
      </c>
      <c r="G157" s="412"/>
      <c r="H157" s="412"/>
      <c r="I157" s="412"/>
      <c r="J157" s="412"/>
      <c r="K157" s="412"/>
      <c r="M157" s="426">
        <v>21</v>
      </c>
      <c r="N157" s="440">
        <f t="shared" si="11"/>
        <v>58.333333333333329</v>
      </c>
      <c r="O157" s="426">
        <v>98</v>
      </c>
      <c r="P157" s="440">
        <v>137.26666666666668</v>
      </c>
      <c r="Q157" s="428">
        <v>98</v>
      </c>
      <c r="R157" s="431">
        <f t="shared" si="7"/>
        <v>81</v>
      </c>
      <c r="S157" s="413"/>
      <c r="T157" s="413"/>
      <c r="U157" s="413"/>
      <c r="V157" s="413"/>
      <c r="W157" s="413"/>
    </row>
    <row r="158" spans="1:23">
      <c r="A158" s="416">
        <v>26</v>
      </c>
      <c r="B158" s="464">
        <f t="shared" si="9"/>
        <v>27</v>
      </c>
      <c r="C158" s="416">
        <v>100</v>
      </c>
      <c r="D158" s="417">
        <f t="shared" si="10"/>
        <v>108</v>
      </c>
      <c r="E158" s="418">
        <v>100</v>
      </c>
      <c r="F158" s="459">
        <f t="shared" si="6"/>
        <v>50.625</v>
      </c>
      <c r="G158" s="412"/>
      <c r="H158" s="412"/>
      <c r="I158" s="412"/>
      <c r="J158" s="412"/>
      <c r="K158" s="412"/>
      <c r="M158" s="426">
        <v>21.5</v>
      </c>
      <c r="N158" s="440">
        <f t="shared" si="11"/>
        <v>56.944444444444443</v>
      </c>
      <c r="O158" s="426">
        <v>99</v>
      </c>
      <c r="P158" s="440">
        <v>136.30000000000001</v>
      </c>
      <c r="Q158" s="428">
        <v>99</v>
      </c>
      <c r="R158" s="431">
        <f t="shared" si="7"/>
        <v>79.875</v>
      </c>
      <c r="S158" s="413"/>
      <c r="T158" s="413"/>
      <c r="U158" s="413"/>
      <c r="V158" s="413"/>
      <c r="W158" s="413"/>
    </row>
    <row r="159" spans="1:23">
      <c r="A159" s="416">
        <v>26.5</v>
      </c>
      <c r="B159" s="464">
        <f t="shared" si="9"/>
        <v>25.5</v>
      </c>
      <c r="C159" s="416">
        <v>101</v>
      </c>
      <c r="D159" s="417">
        <f t="shared" si="10"/>
        <v>107.1</v>
      </c>
      <c r="E159" s="418">
        <v>101</v>
      </c>
      <c r="F159" s="459">
        <f t="shared" si="6"/>
        <v>48.9375</v>
      </c>
      <c r="G159" s="412"/>
      <c r="H159" s="412"/>
      <c r="I159" s="412"/>
      <c r="J159" s="412"/>
      <c r="K159" s="412"/>
      <c r="M159" s="426">
        <v>22</v>
      </c>
      <c r="N159" s="440">
        <f t="shared" si="11"/>
        <v>55.555555555555557</v>
      </c>
      <c r="O159" s="426">
        <v>100</v>
      </c>
      <c r="P159" s="440">
        <v>135.33333333333334</v>
      </c>
      <c r="Q159" s="428">
        <v>100</v>
      </c>
      <c r="R159" s="431">
        <f t="shared" si="7"/>
        <v>78.75</v>
      </c>
      <c r="S159" s="413"/>
      <c r="T159" s="413"/>
      <c r="U159" s="413"/>
      <c r="V159" s="413"/>
      <c r="W159" s="413"/>
    </row>
    <row r="160" spans="1:23">
      <c r="A160" s="416">
        <v>27</v>
      </c>
      <c r="B160" s="464">
        <f t="shared" si="9"/>
        <v>24</v>
      </c>
      <c r="C160" s="416">
        <v>102</v>
      </c>
      <c r="D160" s="417">
        <f t="shared" si="10"/>
        <v>106.2</v>
      </c>
      <c r="E160" s="418">
        <v>102</v>
      </c>
      <c r="F160" s="459">
        <f t="shared" si="6"/>
        <v>47.25</v>
      </c>
      <c r="G160" s="412"/>
      <c r="H160" s="412"/>
      <c r="I160" s="412"/>
      <c r="J160" s="412"/>
      <c r="K160" s="412"/>
      <c r="M160" s="426">
        <v>22.5</v>
      </c>
      <c r="N160" s="440">
        <f t="shared" si="11"/>
        <v>54.166666666666664</v>
      </c>
      <c r="O160" s="426">
        <v>101</v>
      </c>
      <c r="P160" s="440">
        <v>134.36666666666667</v>
      </c>
      <c r="Q160" s="428">
        <v>101</v>
      </c>
      <c r="R160" s="431">
        <f t="shared" si="7"/>
        <v>77.625</v>
      </c>
      <c r="S160" s="413"/>
      <c r="T160" s="413"/>
      <c r="U160" s="413"/>
      <c r="V160" s="413"/>
      <c r="W160" s="413"/>
    </row>
    <row r="161" spans="1:23">
      <c r="A161" s="416">
        <v>27.5</v>
      </c>
      <c r="B161" s="464">
        <f t="shared" si="9"/>
        <v>22.5</v>
      </c>
      <c r="C161" s="416">
        <v>103</v>
      </c>
      <c r="D161" s="417">
        <f t="shared" si="10"/>
        <v>105.3</v>
      </c>
      <c r="E161" s="418">
        <v>103</v>
      </c>
      <c r="F161" s="459">
        <f t="shared" si="6"/>
        <v>45.5625</v>
      </c>
      <c r="G161" s="412"/>
      <c r="H161" s="412"/>
      <c r="I161" s="412"/>
      <c r="J161" s="412"/>
      <c r="K161" s="412"/>
      <c r="M161" s="426">
        <v>23</v>
      </c>
      <c r="N161" s="440">
        <f t="shared" si="11"/>
        <v>52.777777777777779</v>
      </c>
      <c r="O161" s="426">
        <v>102</v>
      </c>
      <c r="P161" s="440">
        <v>133.4</v>
      </c>
      <c r="Q161" s="428">
        <v>102</v>
      </c>
      <c r="R161" s="431">
        <f t="shared" si="7"/>
        <v>76.5</v>
      </c>
      <c r="S161" s="413"/>
      <c r="T161" s="413"/>
      <c r="U161" s="413"/>
      <c r="V161" s="413"/>
      <c r="W161" s="413"/>
    </row>
    <row r="162" spans="1:23">
      <c r="A162" s="416">
        <v>28</v>
      </c>
      <c r="B162" s="464">
        <f t="shared" si="9"/>
        <v>21</v>
      </c>
      <c r="C162" s="416">
        <v>104</v>
      </c>
      <c r="D162" s="417">
        <f t="shared" si="10"/>
        <v>104.4</v>
      </c>
      <c r="E162" s="418">
        <v>104</v>
      </c>
      <c r="F162" s="459">
        <f t="shared" si="6"/>
        <v>43.875</v>
      </c>
      <c r="G162" s="412"/>
      <c r="H162" s="412"/>
      <c r="I162" s="412"/>
      <c r="J162" s="412"/>
      <c r="K162" s="412"/>
      <c r="M162" s="426">
        <v>23.5</v>
      </c>
      <c r="N162" s="440">
        <f t="shared" si="11"/>
        <v>51.388888888888886</v>
      </c>
      <c r="O162" s="426">
        <v>103</v>
      </c>
      <c r="P162" s="440">
        <v>132.43333333333334</v>
      </c>
      <c r="Q162" s="428">
        <v>103</v>
      </c>
      <c r="R162" s="431">
        <f t="shared" si="7"/>
        <v>75.375</v>
      </c>
      <c r="S162" s="413"/>
      <c r="T162" s="413"/>
      <c r="U162" s="413"/>
      <c r="V162" s="413"/>
      <c r="W162" s="413"/>
    </row>
    <row r="163" spans="1:23">
      <c r="A163" s="416">
        <v>28.5</v>
      </c>
      <c r="B163" s="464">
        <f t="shared" si="9"/>
        <v>19.5</v>
      </c>
      <c r="C163" s="416">
        <v>105</v>
      </c>
      <c r="D163" s="417">
        <f t="shared" si="10"/>
        <v>103.5</v>
      </c>
      <c r="E163" s="418">
        <v>105</v>
      </c>
      <c r="F163" s="459">
        <f t="shared" si="6"/>
        <v>42.1875</v>
      </c>
      <c r="G163" s="412"/>
      <c r="H163" s="412"/>
      <c r="I163" s="412"/>
      <c r="J163" s="412"/>
      <c r="K163" s="412"/>
      <c r="M163" s="426">
        <v>24</v>
      </c>
      <c r="N163" s="440">
        <f t="shared" si="11"/>
        <v>50</v>
      </c>
      <c r="O163" s="426">
        <v>104</v>
      </c>
      <c r="P163" s="440">
        <v>131.46666666666667</v>
      </c>
      <c r="Q163" s="428">
        <v>104</v>
      </c>
      <c r="R163" s="431">
        <f t="shared" si="7"/>
        <v>74.25</v>
      </c>
      <c r="S163" s="413"/>
      <c r="T163" s="413"/>
      <c r="U163" s="413"/>
      <c r="V163" s="413"/>
      <c r="W163" s="413"/>
    </row>
    <row r="164" spans="1:23">
      <c r="A164" s="416">
        <v>29</v>
      </c>
      <c r="B164" s="464">
        <f t="shared" si="9"/>
        <v>18</v>
      </c>
      <c r="C164" s="416">
        <v>106</v>
      </c>
      <c r="D164" s="417">
        <f t="shared" si="10"/>
        <v>102.6</v>
      </c>
      <c r="E164" s="418">
        <v>106</v>
      </c>
      <c r="F164" s="459">
        <f t="shared" si="6"/>
        <v>40.5</v>
      </c>
      <c r="G164" s="412"/>
      <c r="H164" s="412"/>
      <c r="I164" s="412"/>
      <c r="J164" s="412"/>
      <c r="K164" s="412"/>
      <c r="M164" s="426">
        <v>24.5</v>
      </c>
      <c r="N164" s="440">
        <f t="shared" si="11"/>
        <v>48.611111111111107</v>
      </c>
      <c r="O164" s="426">
        <v>105</v>
      </c>
      <c r="P164" s="440">
        <v>130.5</v>
      </c>
      <c r="Q164" s="428">
        <v>105</v>
      </c>
      <c r="R164" s="431">
        <f t="shared" si="7"/>
        <v>73.125</v>
      </c>
      <c r="S164" s="413"/>
      <c r="T164" s="413"/>
      <c r="U164" s="413"/>
      <c r="V164" s="413"/>
      <c r="W164" s="413"/>
    </row>
    <row r="165" spans="1:23">
      <c r="A165" s="416">
        <v>29.5</v>
      </c>
      <c r="B165" s="464">
        <f t="shared" si="9"/>
        <v>16.5</v>
      </c>
      <c r="C165" s="416">
        <v>107</v>
      </c>
      <c r="D165" s="417">
        <f t="shared" si="10"/>
        <v>101.69999999999999</v>
      </c>
      <c r="E165" s="418">
        <v>107</v>
      </c>
      <c r="F165" s="459">
        <f t="shared" si="6"/>
        <v>38.8125</v>
      </c>
      <c r="G165" s="412"/>
      <c r="H165" s="412"/>
      <c r="I165" s="412"/>
      <c r="J165" s="412"/>
      <c r="K165" s="412"/>
      <c r="M165" s="426">
        <v>25</v>
      </c>
      <c r="N165" s="440">
        <f t="shared" si="11"/>
        <v>47.222222222222221</v>
      </c>
      <c r="O165" s="426">
        <v>106</v>
      </c>
      <c r="P165" s="440">
        <v>129.53333333333333</v>
      </c>
      <c r="Q165" s="428">
        <v>106</v>
      </c>
      <c r="R165" s="431">
        <f t="shared" si="7"/>
        <v>72</v>
      </c>
      <c r="S165" s="413"/>
      <c r="T165" s="413"/>
      <c r="U165" s="413"/>
      <c r="V165" s="413"/>
      <c r="W165" s="413"/>
    </row>
    <row r="166" spans="1:23">
      <c r="A166" s="416">
        <v>30</v>
      </c>
      <c r="B166" s="464">
        <f t="shared" si="9"/>
        <v>15</v>
      </c>
      <c r="C166" s="416">
        <v>108</v>
      </c>
      <c r="D166" s="417">
        <f t="shared" si="10"/>
        <v>100.8</v>
      </c>
      <c r="E166" s="418">
        <v>108</v>
      </c>
      <c r="F166" s="459">
        <f t="shared" si="6"/>
        <v>37.125</v>
      </c>
      <c r="G166" s="412"/>
      <c r="H166" s="412"/>
      <c r="I166" s="412"/>
      <c r="J166" s="412"/>
      <c r="K166" s="412"/>
      <c r="M166" s="426">
        <v>25.5</v>
      </c>
      <c r="N166" s="440">
        <f t="shared" si="11"/>
        <v>45.833333333333329</v>
      </c>
      <c r="O166" s="426">
        <v>107</v>
      </c>
      <c r="P166" s="440">
        <v>128.56666666666666</v>
      </c>
      <c r="Q166" s="428">
        <v>107</v>
      </c>
      <c r="R166" s="431">
        <f t="shared" si="7"/>
        <v>70.875</v>
      </c>
      <c r="S166" s="413"/>
      <c r="T166" s="413"/>
      <c r="U166" s="413"/>
      <c r="V166" s="413"/>
      <c r="W166" s="413"/>
    </row>
    <row r="167" spans="1:23">
      <c r="A167" s="416">
        <v>30.5</v>
      </c>
      <c r="B167" s="464">
        <f t="shared" si="9"/>
        <v>13.5</v>
      </c>
      <c r="C167" s="416">
        <v>109</v>
      </c>
      <c r="D167" s="417">
        <f t="shared" si="10"/>
        <v>99.9</v>
      </c>
      <c r="E167" s="418">
        <v>109</v>
      </c>
      <c r="F167" s="459">
        <f t="shared" si="6"/>
        <v>35.4375</v>
      </c>
      <c r="G167" s="412"/>
      <c r="H167" s="412"/>
      <c r="I167" s="412"/>
      <c r="J167" s="412"/>
      <c r="K167" s="412"/>
      <c r="M167" s="426">
        <v>26</v>
      </c>
      <c r="N167" s="440">
        <f t="shared" si="11"/>
        <v>44.444444444444443</v>
      </c>
      <c r="O167" s="426">
        <v>108</v>
      </c>
      <c r="P167" s="440">
        <v>127.6</v>
      </c>
      <c r="Q167" s="428">
        <v>108</v>
      </c>
      <c r="R167" s="431">
        <f t="shared" si="7"/>
        <v>69.75</v>
      </c>
      <c r="S167" s="413"/>
      <c r="T167" s="413"/>
      <c r="U167" s="413"/>
      <c r="V167" s="413"/>
      <c r="W167" s="413"/>
    </row>
    <row r="168" spans="1:23">
      <c r="A168" s="416">
        <v>31</v>
      </c>
      <c r="B168" s="464">
        <f t="shared" si="9"/>
        <v>12</v>
      </c>
      <c r="C168" s="416">
        <v>110</v>
      </c>
      <c r="D168" s="417">
        <f t="shared" si="10"/>
        <v>99</v>
      </c>
      <c r="E168" s="418">
        <v>110</v>
      </c>
      <c r="F168" s="459">
        <f t="shared" si="6"/>
        <v>33.75</v>
      </c>
      <c r="G168" s="412"/>
      <c r="H168" s="412"/>
      <c r="I168" s="412"/>
      <c r="J168" s="412"/>
      <c r="K168" s="412"/>
      <c r="M168" s="426">
        <v>26.5</v>
      </c>
      <c r="N168" s="440">
        <f t="shared" si="11"/>
        <v>43.055555555555557</v>
      </c>
      <c r="O168" s="426">
        <v>109</v>
      </c>
      <c r="P168" s="440">
        <v>126.63333333333333</v>
      </c>
      <c r="Q168" s="428">
        <v>109</v>
      </c>
      <c r="R168" s="431">
        <f t="shared" si="7"/>
        <v>68.625</v>
      </c>
      <c r="S168" s="413"/>
      <c r="T168" s="413"/>
      <c r="U168" s="413"/>
      <c r="V168" s="413"/>
      <c r="W168" s="413"/>
    </row>
    <row r="169" spans="1:23">
      <c r="A169" s="416">
        <v>31.5</v>
      </c>
      <c r="B169" s="464">
        <f t="shared" si="9"/>
        <v>10.5</v>
      </c>
      <c r="C169" s="416">
        <v>111</v>
      </c>
      <c r="D169" s="417">
        <f t="shared" si="10"/>
        <v>98.1</v>
      </c>
      <c r="E169" s="418">
        <v>111</v>
      </c>
      <c r="F169" s="459">
        <f t="shared" si="6"/>
        <v>32.0625</v>
      </c>
      <c r="G169" s="412"/>
      <c r="H169" s="412"/>
      <c r="I169" s="412"/>
      <c r="J169" s="412"/>
      <c r="K169" s="412"/>
      <c r="M169" s="426">
        <v>27</v>
      </c>
      <c r="N169" s="440">
        <f t="shared" si="11"/>
        <v>41.666666666666664</v>
      </c>
      <c r="O169" s="426">
        <v>110</v>
      </c>
      <c r="P169" s="440">
        <v>125.66666666666667</v>
      </c>
      <c r="Q169" s="428">
        <v>110</v>
      </c>
      <c r="R169" s="431">
        <f t="shared" si="7"/>
        <v>67.5</v>
      </c>
      <c r="S169" s="413"/>
      <c r="T169" s="413"/>
      <c r="U169" s="413"/>
      <c r="V169" s="413"/>
      <c r="W169" s="413"/>
    </row>
    <row r="170" spans="1:23">
      <c r="A170" s="416">
        <v>32</v>
      </c>
      <c r="B170" s="464">
        <f t="shared" si="9"/>
        <v>9</v>
      </c>
      <c r="C170" s="416">
        <v>112</v>
      </c>
      <c r="D170" s="417">
        <f t="shared" si="10"/>
        <v>97.199999999999989</v>
      </c>
      <c r="E170" s="418">
        <v>112</v>
      </c>
      <c r="F170" s="459">
        <f t="shared" si="6"/>
        <v>30.375</v>
      </c>
      <c r="G170" s="412"/>
      <c r="H170" s="412"/>
      <c r="I170" s="412"/>
      <c r="J170" s="412"/>
      <c r="K170" s="412"/>
      <c r="M170" s="426">
        <v>27.5</v>
      </c>
      <c r="N170" s="440">
        <f t="shared" si="11"/>
        <v>40.277777777777779</v>
      </c>
      <c r="O170" s="426">
        <v>111</v>
      </c>
      <c r="P170" s="440">
        <v>124.7</v>
      </c>
      <c r="Q170" s="428">
        <v>111</v>
      </c>
      <c r="R170" s="431">
        <f t="shared" si="7"/>
        <v>66.375</v>
      </c>
      <c r="S170" s="413"/>
      <c r="T170" s="413"/>
      <c r="U170" s="413"/>
      <c r="V170" s="413"/>
      <c r="W170" s="413"/>
    </row>
    <row r="171" spans="1:23">
      <c r="A171" s="416">
        <v>32.5</v>
      </c>
      <c r="B171" s="464">
        <f t="shared" si="9"/>
        <v>7.5</v>
      </c>
      <c r="C171" s="416">
        <v>113</v>
      </c>
      <c r="D171" s="417">
        <f t="shared" si="10"/>
        <v>96.3</v>
      </c>
      <c r="E171" s="418">
        <v>113</v>
      </c>
      <c r="F171" s="459">
        <f t="shared" si="6"/>
        <v>28.6875</v>
      </c>
      <c r="G171" s="412"/>
      <c r="H171" s="412"/>
      <c r="I171" s="412"/>
      <c r="J171" s="412"/>
      <c r="K171" s="412"/>
      <c r="M171" s="426">
        <v>28</v>
      </c>
      <c r="N171" s="440">
        <f t="shared" si="11"/>
        <v>38.888888888888886</v>
      </c>
      <c r="O171" s="426">
        <v>112</v>
      </c>
      <c r="P171" s="440">
        <v>123.73333333333333</v>
      </c>
      <c r="Q171" s="428">
        <v>112</v>
      </c>
      <c r="R171" s="431">
        <f t="shared" si="7"/>
        <v>65.25</v>
      </c>
      <c r="S171" s="413"/>
      <c r="T171" s="413"/>
      <c r="U171" s="413"/>
      <c r="V171" s="413"/>
      <c r="W171" s="413"/>
    </row>
    <row r="172" spans="1:23">
      <c r="A172" s="416">
        <v>33</v>
      </c>
      <c r="B172" s="464">
        <f t="shared" si="9"/>
        <v>6</v>
      </c>
      <c r="C172" s="416">
        <v>114</v>
      </c>
      <c r="D172" s="417">
        <f t="shared" si="10"/>
        <v>95.4</v>
      </c>
      <c r="E172" s="418">
        <v>114</v>
      </c>
      <c r="F172" s="459">
        <f t="shared" si="6"/>
        <v>27</v>
      </c>
      <c r="G172" s="412"/>
      <c r="H172" s="412"/>
      <c r="I172" s="412"/>
      <c r="J172" s="412"/>
      <c r="K172" s="412"/>
      <c r="M172" s="426">
        <v>28.5</v>
      </c>
      <c r="N172" s="440">
        <f t="shared" si="11"/>
        <v>37.5</v>
      </c>
      <c r="O172" s="426">
        <v>113</v>
      </c>
      <c r="P172" s="440">
        <v>122.76666666666667</v>
      </c>
      <c r="Q172" s="428">
        <v>113</v>
      </c>
      <c r="R172" s="431">
        <f t="shared" si="7"/>
        <v>64.125</v>
      </c>
      <c r="S172" s="413"/>
      <c r="T172" s="413"/>
      <c r="U172" s="413"/>
      <c r="V172" s="413"/>
      <c r="W172" s="413"/>
    </row>
    <row r="173" spans="1:23">
      <c r="A173" s="416">
        <v>33.5</v>
      </c>
      <c r="B173" s="464">
        <f t="shared" si="9"/>
        <v>4.5</v>
      </c>
      <c r="C173" s="416">
        <v>115</v>
      </c>
      <c r="D173" s="417">
        <f t="shared" si="10"/>
        <v>94.5</v>
      </c>
      <c r="E173" s="418">
        <v>115</v>
      </c>
      <c r="F173" s="459">
        <f t="shared" ref="F173:F188" si="12">135+(0+-135)/(130-50)*(E173-50)</f>
        <v>25.3125</v>
      </c>
      <c r="G173" s="412"/>
      <c r="H173" s="412"/>
      <c r="I173" s="412"/>
      <c r="J173" s="412"/>
      <c r="K173" s="412"/>
      <c r="M173" s="426">
        <v>29</v>
      </c>
      <c r="N173" s="440">
        <f t="shared" si="11"/>
        <v>36.111111111111107</v>
      </c>
      <c r="O173" s="426">
        <v>114</v>
      </c>
      <c r="P173" s="440">
        <v>121.8</v>
      </c>
      <c r="Q173" s="428">
        <v>114</v>
      </c>
      <c r="R173" s="431">
        <f t="shared" si="7"/>
        <v>63</v>
      </c>
      <c r="S173" s="413"/>
      <c r="T173" s="413"/>
      <c r="U173" s="413"/>
      <c r="V173" s="413"/>
      <c r="W173" s="413"/>
    </row>
    <row r="174" spans="1:23">
      <c r="A174" s="416">
        <v>34</v>
      </c>
      <c r="B174" s="464">
        <f t="shared" si="9"/>
        <v>3</v>
      </c>
      <c r="C174" s="416">
        <v>116</v>
      </c>
      <c r="D174" s="417">
        <f t="shared" si="10"/>
        <v>93.6</v>
      </c>
      <c r="E174" s="418">
        <v>116</v>
      </c>
      <c r="F174" s="459">
        <f t="shared" si="12"/>
        <v>23.625</v>
      </c>
      <c r="G174" s="412"/>
      <c r="H174" s="412"/>
      <c r="I174" s="412"/>
      <c r="J174" s="412"/>
      <c r="K174" s="412"/>
      <c r="M174" s="426">
        <v>29.5</v>
      </c>
      <c r="N174" s="440">
        <f t="shared" si="11"/>
        <v>34.722222222222221</v>
      </c>
      <c r="O174" s="426">
        <v>115</v>
      </c>
      <c r="P174" s="440">
        <v>120.83333333333333</v>
      </c>
      <c r="Q174" s="428">
        <v>115</v>
      </c>
      <c r="R174" s="431">
        <f t="shared" ref="R174:R229" si="13">135+(0+-135)/(170-50)*(Q174-50)</f>
        <v>61.875</v>
      </c>
      <c r="S174" s="413"/>
      <c r="T174" s="413"/>
      <c r="U174" s="413"/>
      <c r="V174" s="413"/>
      <c r="W174" s="413"/>
    </row>
    <row r="175" spans="1:23">
      <c r="A175" s="416">
        <v>34.5</v>
      </c>
      <c r="B175" s="464">
        <f t="shared" si="9"/>
        <v>1.5</v>
      </c>
      <c r="C175" s="416">
        <v>117</v>
      </c>
      <c r="D175" s="417">
        <f t="shared" si="10"/>
        <v>92.699999999999989</v>
      </c>
      <c r="E175" s="418">
        <v>117</v>
      </c>
      <c r="F175" s="459">
        <f t="shared" si="12"/>
        <v>21.9375</v>
      </c>
      <c r="G175" s="412"/>
      <c r="H175" s="412"/>
      <c r="I175" s="412"/>
      <c r="J175" s="412"/>
      <c r="K175" s="412"/>
      <c r="M175" s="426">
        <v>30</v>
      </c>
      <c r="N175" s="440">
        <f t="shared" si="11"/>
        <v>33.333333333333329</v>
      </c>
      <c r="O175" s="426">
        <v>116</v>
      </c>
      <c r="P175" s="440">
        <v>119.86666666666667</v>
      </c>
      <c r="Q175" s="428">
        <v>116</v>
      </c>
      <c r="R175" s="431">
        <f t="shared" si="13"/>
        <v>60.75</v>
      </c>
      <c r="S175" s="413"/>
      <c r="T175" s="413"/>
      <c r="U175" s="413"/>
      <c r="V175" s="413"/>
      <c r="W175" s="413"/>
    </row>
    <row r="176" spans="1:23">
      <c r="A176" s="469">
        <v>35</v>
      </c>
      <c r="B176" s="470">
        <f t="shared" si="9"/>
        <v>0</v>
      </c>
      <c r="C176" s="416">
        <v>118</v>
      </c>
      <c r="D176" s="417">
        <f t="shared" si="10"/>
        <v>91.8</v>
      </c>
      <c r="E176" s="418">
        <v>118</v>
      </c>
      <c r="F176" s="459">
        <f t="shared" si="12"/>
        <v>20.25</v>
      </c>
      <c r="G176" s="412"/>
      <c r="H176" s="412"/>
      <c r="I176" s="412"/>
      <c r="J176" s="412"/>
      <c r="K176" s="412"/>
      <c r="M176" s="426">
        <v>30.5</v>
      </c>
      <c r="N176" s="440">
        <f t="shared" si="11"/>
        <v>31.944444444444443</v>
      </c>
      <c r="O176" s="426">
        <v>117</v>
      </c>
      <c r="P176" s="440">
        <v>118.9</v>
      </c>
      <c r="Q176" s="428">
        <v>117</v>
      </c>
      <c r="R176" s="431">
        <f t="shared" si="13"/>
        <v>59.625</v>
      </c>
      <c r="S176" s="413"/>
      <c r="T176" s="413"/>
      <c r="U176" s="413"/>
      <c r="V176" s="413"/>
      <c r="W176" s="413"/>
    </row>
    <row r="177" spans="1:23">
      <c r="A177" s="412"/>
      <c r="B177" s="471"/>
      <c r="C177" s="416">
        <v>119</v>
      </c>
      <c r="D177" s="417">
        <f t="shared" si="10"/>
        <v>90.9</v>
      </c>
      <c r="E177" s="418">
        <v>119</v>
      </c>
      <c r="F177" s="459">
        <f t="shared" si="12"/>
        <v>18.5625</v>
      </c>
      <c r="G177" s="412"/>
      <c r="H177" s="412"/>
      <c r="I177" s="412"/>
      <c r="J177" s="412"/>
      <c r="K177" s="412"/>
      <c r="M177" s="426">
        <v>31</v>
      </c>
      <c r="N177" s="440">
        <f t="shared" si="11"/>
        <v>30.555555555555554</v>
      </c>
      <c r="O177" s="426">
        <v>118</v>
      </c>
      <c r="P177" s="440">
        <v>117.93333333333334</v>
      </c>
      <c r="Q177" s="428">
        <v>118</v>
      </c>
      <c r="R177" s="431">
        <f t="shared" si="13"/>
        <v>58.5</v>
      </c>
      <c r="S177" s="413"/>
      <c r="T177" s="413"/>
      <c r="U177" s="413"/>
      <c r="V177" s="413"/>
      <c r="W177" s="413"/>
    </row>
    <row r="178" spans="1:23">
      <c r="A178" s="412"/>
      <c r="B178" s="471"/>
      <c r="C178" s="416">
        <v>120</v>
      </c>
      <c r="D178" s="417">
        <f t="shared" si="10"/>
        <v>90</v>
      </c>
      <c r="E178" s="418">
        <v>120</v>
      </c>
      <c r="F178" s="459">
        <f t="shared" si="12"/>
        <v>16.875</v>
      </c>
      <c r="G178" s="412"/>
      <c r="H178" s="412"/>
      <c r="I178" s="412"/>
      <c r="J178" s="412"/>
      <c r="K178" s="412"/>
      <c r="M178" s="426">
        <v>31.5</v>
      </c>
      <c r="N178" s="440">
        <f t="shared" si="11"/>
        <v>29.166666666666664</v>
      </c>
      <c r="O178" s="426">
        <v>119</v>
      </c>
      <c r="P178" s="440">
        <v>116.96666666666667</v>
      </c>
      <c r="Q178" s="428">
        <v>119</v>
      </c>
      <c r="R178" s="431">
        <f t="shared" si="13"/>
        <v>57.375</v>
      </c>
      <c r="S178" s="413"/>
      <c r="T178" s="413"/>
      <c r="U178" s="413"/>
      <c r="V178" s="413"/>
      <c r="W178" s="413"/>
    </row>
    <row r="179" spans="1:23">
      <c r="A179" s="412"/>
      <c r="B179" s="471"/>
      <c r="C179" s="416">
        <v>121</v>
      </c>
      <c r="D179" s="417">
        <f t="shared" si="10"/>
        <v>89.1</v>
      </c>
      <c r="E179" s="418">
        <v>121</v>
      </c>
      <c r="F179" s="459">
        <f t="shared" si="12"/>
        <v>15.1875</v>
      </c>
      <c r="G179" s="412"/>
      <c r="H179" s="412"/>
      <c r="I179" s="412"/>
      <c r="J179" s="412"/>
      <c r="K179" s="412"/>
      <c r="M179" s="426">
        <v>32</v>
      </c>
      <c r="N179" s="440">
        <f t="shared" si="11"/>
        <v>27.777777777777779</v>
      </c>
      <c r="O179" s="426">
        <v>120</v>
      </c>
      <c r="P179" s="440">
        <v>116</v>
      </c>
      <c r="Q179" s="428">
        <v>120</v>
      </c>
      <c r="R179" s="431">
        <f t="shared" si="13"/>
        <v>56.25</v>
      </c>
      <c r="S179" s="413"/>
      <c r="T179" s="413"/>
      <c r="U179" s="413"/>
      <c r="V179" s="413"/>
      <c r="W179" s="413"/>
    </row>
    <row r="180" spans="1:23">
      <c r="A180" s="412"/>
      <c r="B180" s="471"/>
      <c r="C180" s="416">
        <v>122</v>
      </c>
      <c r="D180" s="417">
        <f t="shared" si="10"/>
        <v>88.199999999999989</v>
      </c>
      <c r="E180" s="418">
        <v>122</v>
      </c>
      <c r="F180" s="459">
        <f t="shared" si="12"/>
        <v>13.5</v>
      </c>
      <c r="G180" s="412"/>
      <c r="H180" s="412"/>
      <c r="I180" s="412"/>
      <c r="J180" s="412"/>
      <c r="K180" s="412"/>
      <c r="M180" s="426">
        <v>32.5</v>
      </c>
      <c r="N180" s="440">
        <f t="shared" si="11"/>
        <v>26.388888888888889</v>
      </c>
      <c r="O180" s="426">
        <v>121</v>
      </c>
      <c r="P180" s="440">
        <v>115.03333333333333</v>
      </c>
      <c r="Q180" s="428">
        <v>121</v>
      </c>
      <c r="R180" s="431">
        <f t="shared" si="13"/>
        <v>55.125</v>
      </c>
      <c r="S180" s="413"/>
      <c r="T180" s="413"/>
      <c r="U180" s="413"/>
      <c r="V180" s="413"/>
      <c r="W180" s="413"/>
    </row>
    <row r="181" spans="1:23">
      <c r="A181" s="412"/>
      <c r="B181" s="471"/>
      <c r="C181" s="416">
        <v>123</v>
      </c>
      <c r="D181" s="417">
        <f t="shared" si="10"/>
        <v>87.3</v>
      </c>
      <c r="E181" s="418">
        <v>123</v>
      </c>
      <c r="F181" s="459">
        <f t="shared" si="12"/>
        <v>11.8125</v>
      </c>
      <c r="G181" s="412"/>
      <c r="H181" s="412"/>
      <c r="I181" s="412"/>
      <c r="J181" s="412"/>
      <c r="K181" s="412"/>
      <c r="M181" s="426">
        <v>33</v>
      </c>
      <c r="N181" s="440">
        <f t="shared" si="11"/>
        <v>25</v>
      </c>
      <c r="O181" s="426">
        <v>122</v>
      </c>
      <c r="P181" s="440">
        <v>114.06666666666666</v>
      </c>
      <c r="Q181" s="428">
        <v>122</v>
      </c>
      <c r="R181" s="431">
        <f t="shared" si="13"/>
        <v>54</v>
      </c>
      <c r="S181" s="413"/>
      <c r="T181" s="413"/>
      <c r="U181" s="413"/>
      <c r="V181" s="413"/>
      <c r="W181" s="413"/>
    </row>
    <row r="182" spans="1:23">
      <c r="A182" s="412"/>
      <c r="B182" s="471"/>
      <c r="C182" s="416">
        <v>124</v>
      </c>
      <c r="D182" s="417">
        <f t="shared" si="10"/>
        <v>86.4</v>
      </c>
      <c r="E182" s="418">
        <v>124</v>
      </c>
      <c r="F182" s="459">
        <f t="shared" si="12"/>
        <v>10.125</v>
      </c>
      <c r="G182" s="412"/>
      <c r="H182" s="412"/>
      <c r="I182" s="412"/>
      <c r="J182" s="412"/>
      <c r="K182" s="412"/>
      <c r="M182" s="426">
        <v>33.5</v>
      </c>
      <c r="N182" s="440">
        <f t="shared" si="11"/>
        <v>23.611111111111111</v>
      </c>
      <c r="O182" s="426">
        <v>123</v>
      </c>
      <c r="P182" s="440">
        <v>113.1</v>
      </c>
      <c r="Q182" s="428">
        <v>123</v>
      </c>
      <c r="R182" s="431">
        <f t="shared" si="13"/>
        <v>52.875</v>
      </c>
      <c r="S182" s="413"/>
      <c r="T182" s="413"/>
      <c r="U182" s="413"/>
      <c r="V182" s="413"/>
      <c r="W182" s="413"/>
    </row>
    <row r="183" spans="1:23">
      <c r="A183" s="412"/>
      <c r="B183" s="471"/>
      <c r="C183" s="416">
        <v>125</v>
      </c>
      <c r="D183" s="417">
        <f t="shared" si="10"/>
        <v>85.5</v>
      </c>
      <c r="E183" s="418">
        <v>125</v>
      </c>
      <c r="F183" s="459">
        <f t="shared" si="12"/>
        <v>8.4375</v>
      </c>
      <c r="G183" s="412"/>
      <c r="H183" s="412"/>
      <c r="I183" s="412"/>
      <c r="J183" s="412"/>
      <c r="K183" s="412"/>
      <c r="M183" s="426">
        <v>34</v>
      </c>
      <c r="N183" s="440">
        <f t="shared" si="11"/>
        <v>22.222222222222221</v>
      </c>
      <c r="O183" s="426">
        <v>124</v>
      </c>
      <c r="P183" s="440">
        <v>112.13333333333333</v>
      </c>
      <c r="Q183" s="428">
        <v>124</v>
      </c>
      <c r="R183" s="431">
        <f t="shared" si="13"/>
        <v>51.75</v>
      </c>
      <c r="S183" s="413"/>
      <c r="T183" s="413"/>
      <c r="U183" s="413"/>
      <c r="V183" s="413"/>
      <c r="W183" s="413"/>
    </row>
    <row r="184" spans="1:23">
      <c r="A184" s="412"/>
      <c r="B184" s="471"/>
      <c r="C184" s="416">
        <v>126</v>
      </c>
      <c r="D184" s="417">
        <f t="shared" si="10"/>
        <v>84.6</v>
      </c>
      <c r="E184" s="418">
        <v>126</v>
      </c>
      <c r="F184" s="459">
        <f t="shared" si="12"/>
        <v>6.75</v>
      </c>
      <c r="G184" s="412"/>
      <c r="H184" s="412"/>
      <c r="I184" s="412"/>
      <c r="J184" s="412"/>
      <c r="K184" s="412"/>
      <c r="M184" s="426">
        <v>34.5</v>
      </c>
      <c r="N184" s="440">
        <f t="shared" si="11"/>
        <v>20.833333333333332</v>
      </c>
      <c r="O184" s="426">
        <v>125</v>
      </c>
      <c r="P184" s="440">
        <v>111.16666666666666</v>
      </c>
      <c r="Q184" s="428">
        <v>125</v>
      </c>
      <c r="R184" s="431">
        <f t="shared" si="13"/>
        <v>50.625</v>
      </c>
      <c r="S184" s="413"/>
      <c r="T184" s="413"/>
      <c r="U184" s="413"/>
      <c r="V184" s="413"/>
      <c r="W184" s="413"/>
    </row>
    <row r="185" spans="1:23">
      <c r="A185" s="412"/>
      <c r="B185" s="471"/>
      <c r="C185" s="416">
        <v>127</v>
      </c>
      <c r="D185" s="417">
        <f t="shared" si="10"/>
        <v>83.699999999999989</v>
      </c>
      <c r="E185" s="418">
        <v>127</v>
      </c>
      <c r="F185" s="459">
        <f t="shared" si="12"/>
        <v>5.0625</v>
      </c>
      <c r="G185" s="412"/>
      <c r="H185" s="412"/>
      <c r="I185" s="412"/>
      <c r="J185" s="412"/>
      <c r="K185" s="412"/>
      <c r="M185" s="426">
        <v>35</v>
      </c>
      <c r="N185" s="440">
        <f t="shared" si="11"/>
        <v>19.444444444444443</v>
      </c>
      <c r="O185" s="426">
        <v>126</v>
      </c>
      <c r="P185" s="440">
        <v>110.2</v>
      </c>
      <c r="Q185" s="428">
        <v>126</v>
      </c>
      <c r="R185" s="431">
        <f t="shared" si="13"/>
        <v>49.5</v>
      </c>
      <c r="S185" s="413"/>
      <c r="T185" s="413"/>
      <c r="U185" s="413"/>
      <c r="V185" s="413"/>
      <c r="W185" s="413"/>
    </row>
    <row r="186" spans="1:23">
      <c r="A186" s="412"/>
      <c r="B186" s="471"/>
      <c r="C186" s="416">
        <v>128</v>
      </c>
      <c r="D186" s="417">
        <f t="shared" si="10"/>
        <v>82.8</v>
      </c>
      <c r="E186" s="418">
        <v>128</v>
      </c>
      <c r="F186" s="459">
        <f t="shared" si="12"/>
        <v>3.375</v>
      </c>
      <c r="G186" s="412"/>
      <c r="H186" s="412"/>
      <c r="I186" s="412"/>
      <c r="J186" s="412"/>
      <c r="K186" s="412"/>
      <c r="M186" s="426">
        <v>35.5</v>
      </c>
      <c r="N186" s="440">
        <f t="shared" si="11"/>
        <v>18.055555555555554</v>
      </c>
      <c r="O186" s="426">
        <v>127</v>
      </c>
      <c r="P186" s="440">
        <v>109.23333333333333</v>
      </c>
      <c r="Q186" s="428">
        <v>127</v>
      </c>
      <c r="R186" s="431">
        <f t="shared" si="13"/>
        <v>48.375</v>
      </c>
      <c r="S186" s="413"/>
      <c r="T186" s="413"/>
      <c r="U186" s="413"/>
      <c r="V186" s="413"/>
      <c r="W186" s="413"/>
    </row>
    <row r="187" spans="1:23">
      <c r="A187" s="412"/>
      <c r="B187" s="471"/>
      <c r="C187" s="416">
        <v>129</v>
      </c>
      <c r="D187" s="417">
        <f t="shared" si="10"/>
        <v>81.900000000000006</v>
      </c>
      <c r="E187" s="418">
        <v>129</v>
      </c>
      <c r="F187" s="459">
        <f t="shared" si="12"/>
        <v>1.6875</v>
      </c>
      <c r="G187" s="412"/>
      <c r="H187" s="412"/>
      <c r="I187" s="412"/>
      <c r="J187" s="412"/>
      <c r="K187" s="412"/>
      <c r="M187" s="426">
        <v>36</v>
      </c>
      <c r="N187" s="440">
        <f t="shared" si="11"/>
        <v>16.666666666666664</v>
      </c>
      <c r="O187" s="426">
        <v>128</v>
      </c>
      <c r="P187" s="440">
        <v>108.26666666666667</v>
      </c>
      <c r="Q187" s="428">
        <v>128</v>
      </c>
      <c r="R187" s="431">
        <f t="shared" si="13"/>
        <v>47.25</v>
      </c>
      <c r="S187" s="413"/>
      <c r="T187" s="413"/>
      <c r="U187" s="413"/>
      <c r="V187" s="413"/>
      <c r="W187" s="413"/>
    </row>
    <row r="188" spans="1:23">
      <c r="A188" s="412"/>
      <c r="B188" s="471"/>
      <c r="C188" s="416">
        <v>130</v>
      </c>
      <c r="D188" s="417">
        <f t="shared" si="10"/>
        <v>81</v>
      </c>
      <c r="E188" s="449">
        <v>130</v>
      </c>
      <c r="F188" s="472">
        <f t="shared" si="12"/>
        <v>0</v>
      </c>
      <c r="G188" s="412"/>
      <c r="H188" s="412"/>
      <c r="I188" s="412"/>
      <c r="J188" s="412"/>
      <c r="K188" s="412"/>
      <c r="M188" s="426">
        <v>36.5</v>
      </c>
      <c r="N188" s="440">
        <f t="shared" si="11"/>
        <v>15.277777777777777</v>
      </c>
      <c r="O188" s="426">
        <v>129</v>
      </c>
      <c r="P188" s="440">
        <v>107.3</v>
      </c>
      <c r="Q188" s="428">
        <v>129</v>
      </c>
      <c r="R188" s="431">
        <f t="shared" si="13"/>
        <v>46.125</v>
      </c>
      <c r="S188" s="413"/>
      <c r="T188" s="413"/>
      <c r="U188" s="413"/>
      <c r="V188" s="413"/>
      <c r="W188" s="413"/>
    </row>
    <row r="189" spans="1:23">
      <c r="A189" s="412"/>
      <c r="B189" s="471"/>
      <c r="C189" s="416">
        <v>131</v>
      </c>
      <c r="D189" s="417">
        <f t="shared" si="10"/>
        <v>80.099999999999994</v>
      </c>
      <c r="E189" s="412"/>
      <c r="F189" s="412"/>
      <c r="G189" s="412"/>
      <c r="H189" s="412"/>
      <c r="I189" s="412"/>
      <c r="J189" s="412"/>
      <c r="K189" s="412"/>
      <c r="M189" s="426">
        <v>37</v>
      </c>
      <c r="N189" s="440">
        <f t="shared" si="11"/>
        <v>13.888888888888889</v>
      </c>
      <c r="O189" s="426">
        <v>130</v>
      </c>
      <c r="P189" s="440">
        <v>106.33333333333334</v>
      </c>
      <c r="Q189" s="428">
        <v>130</v>
      </c>
      <c r="R189" s="431">
        <f t="shared" si="13"/>
        <v>45</v>
      </c>
      <c r="S189" s="413"/>
      <c r="T189" s="413"/>
      <c r="U189" s="413"/>
      <c r="V189" s="413"/>
      <c r="W189" s="413"/>
    </row>
    <row r="190" spans="1:23">
      <c r="A190" s="412"/>
      <c r="B190" s="471"/>
      <c r="C190" s="416">
        <v>132</v>
      </c>
      <c r="D190" s="417">
        <f t="shared" si="10"/>
        <v>79.199999999999989</v>
      </c>
      <c r="E190" s="412"/>
      <c r="F190" s="412"/>
      <c r="G190" s="412"/>
      <c r="H190" s="412"/>
      <c r="I190" s="412"/>
      <c r="J190" s="412"/>
      <c r="K190" s="412"/>
      <c r="M190" s="426">
        <v>37.5</v>
      </c>
      <c r="N190" s="440">
        <f t="shared" si="11"/>
        <v>12.5</v>
      </c>
      <c r="O190" s="426">
        <v>131</v>
      </c>
      <c r="P190" s="440">
        <v>105.36666666666667</v>
      </c>
      <c r="Q190" s="428">
        <v>131</v>
      </c>
      <c r="R190" s="431">
        <f t="shared" si="13"/>
        <v>43.875</v>
      </c>
      <c r="S190" s="413"/>
      <c r="T190" s="413"/>
      <c r="U190" s="413"/>
      <c r="V190" s="413"/>
      <c r="W190" s="413"/>
    </row>
    <row r="191" spans="1:23">
      <c r="A191" s="412"/>
      <c r="B191" s="471"/>
      <c r="C191" s="416">
        <v>133</v>
      </c>
      <c r="D191" s="417">
        <f t="shared" si="10"/>
        <v>78.3</v>
      </c>
      <c r="E191" s="412"/>
      <c r="F191" s="412"/>
      <c r="G191" s="412"/>
      <c r="H191" s="412"/>
      <c r="I191" s="412"/>
      <c r="J191" s="412"/>
      <c r="K191" s="412"/>
      <c r="M191" s="426">
        <v>38</v>
      </c>
      <c r="N191" s="440">
        <f t="shared" si="11"/>
        <v>11.111111111111111</v>
      </c>
      <c r="O191" s="426">
        <v>132</v>
      </c>
      <c r="P191" s="440">
        <v>104.4</v>
      </c>
      <c r="Q191" s="428">
        <v>132</v>
      </c>
      <c r="R191" s="431">
        <f t="shared" si="13"/>
        <v>42.75</v>
      </c>
      <c r="S191" s="413"/>
      <c r="T191" s="413"/>
      <c r="U191" s="413"/>
      <c r="V191" s="413"/>
      <c r="W191" s="413"/>
    </row>
    <row r="192" spans="1:23">
      <c r="A192" s="412"/>
      <c r="B192" s="471"/>
      <c r="C192" s="416">
        <v>134</v>
      </c>
      <c r="D192" s="417">
        <f t="shared" ref="D192:D255" si="14">135+(0+-135)/(220-70)*(C192-70)</f>
        <v>77.400000000000006</v>
      </c>
      <c r="E192" s="412"/>
      <c r="F192" s="412"/>
      <c r="G192" s="412"/>
      <c r="H192" s="412"/>
      <c r="I192" s="412"/>
      <c r="J192" s="412"/>
      <c r="K192" s="412"/>
      <c r="M192" s="426">
        <v>38.5</v>
      </c>
      <c r="N192" s="440">
        <f t="shared" si="11"/>
        <v>9.7222222222222214</v>
      </c>
      <c r="O192" s="426">
        <v>133</v>
      </c>
      <c r="P192" s="440">
        <v>103.43333333333334</v>
      </c>
      <c r="Q192" s="428">
        <v>133</v>
      </c>
      <c r="R192" s="431">
        <f t="shared" si="13"/>
        <v>41.625</v>
      </c>
      <c r="S192" s="413"/>
      <c r="T192" s="413"/>
      <c r="U192" s="413"/>
      <c r="V192" s="413"/>
      <c r="W192" s="413"/>
    </row>
    <row r="193" spans="1:23">
      <c r="A193" s="412"/>
      <c r="B193" s="471"/>
      <c r="C193" s="416">
        <v>135</v>
      </c>
      <c r="D193" s="417">
        <f t="shared" si="14"/>
        <v>76.5</v>
      </c>
      <c r="E193" s="412"/>
      <c r="F193" s="412"/>
      <c r="G193" s="412"/>
      <c r="H193" s="412"/>
      <c r="I193" s="412"/>
      <c r="J193" s="412"/>
      <c r="K193" s="412"/>
      <c r="M193" s="426">
        <v>39</v>
      </c>
      <c r="N193" s="440">
        <f t="shared" si="11"/>
        <v>8.3333333333333321</v>
      </c>
      <c r="O193" s="426">
        <v>134</v>
      </c>
      <c r="P193" s="440">
        <v>102.46666666666667</v>
      </c>
      <c r="Q193" s="428">
        <v>134</v>
      </c>
      <c r="R193" s="431">
        <f t="shared" si="13"/>
        <v>40.5</v>
      </c>
      <c r="S193" s="413"/>
      <c r="T193" s="413"/>
      <c r="U193" s="413"/>
      <c r="V193" s="413"/>
      <c r="W193" s="413"/>
    </row>
    <row r="194" spans="1:23">
      <c r="A194" s="412"/>
      <c r="B194" s="471"/>
      <c r="C194" s="416">
        <v>136</v>
      </c>
      <c r="D194" s="417">
        <f t="shared" si="14"/>
        <v>75.599999999999994</v>
      </c>
      <c r="E194" s="412"/>
      <c r="F194" s="412"/>
      <c r="G194" s="412"/>
      <c r="H194" s="412"/>
      <c r="I194" s="412"/>
      <c r="J194" s="412"/>
      <c r="K194" s="412"/>
      <c r="M194" s="426">
        <v>39.5</v>
      </c>
      <c r="N194" s="440">
        <f t="shared" si="11"/>
        <v>6.9444444444444446</v>
      </c>
      <c r="O194" s="426">
        <v>135</v>
      </c>
      <c r="P194" s="440">
        <v>101.5</v>
      </c>
      <c r="Q194" s="428">
        <v>135</v>
      </c>
      <c r="R194" s="431">
        <f t="shared" si="13"/>
        <v>39.375</v>
      </c>
      <c r="S194" s="413"/>
      <c r="T194" s="413"/>
      <c r="U194" s="413"/>
      <c r="V194" s="413"/>
      <c r="W194" s="413"/>
    </row>
    <row r="195" spans="1:23">
      <c r="A195" s="412"/>
      <c r="B195" s="471"/>
      <c r="C195" s="416">
        <v>137</v>
      </c>
      <c r="D195" s="417">
        <f t="shared" si="14"/>
        <v>74.699999999999989</v>
      </c>
      <c r="E195" s="412"/>
      <c r="F195" s="412"/>
      <c r="G195" s="412"/>
      <c r="H195" s="412"/>
      <c r="I195" s="412"/>
      <c r="J195" s="412"/>
      <c r="K195" s="412"/>
      <c r="M195" s="426">
        <v>40</v>
      </c>
      <c r="N195" s="440">
        <f t="shared" si="11"/>
        <v>5.5555555555555554</v>
      </c>
      <c r="O195" s="426">
        <v>136</v>
      </c>
      <c r="P195" s="440">
        <v>100.53333333333333</v>
      </c>
      <c r="Q195" s="428">
        <v>136</v>
      </c>
      <c r="R195" s="431">
        <f t="shared" si="13"/>
        <v>38.25</v>
      </c>
      <c r="S195" s="413"/>
      <c r="T195" s="413"/>
      <c r="U195" s="413"/>
      <c r="V195" s="413"/>
      <c r="W195" s="413"/>
    </row>
    <row r="196" spans="1:23">
      <c r="A196" s="412"/>
      <c r="B196" s="471"/>
      <c r="C196" s="416">
        <v>138</v>
      </c>
      <c r="D196" s="417">
        <f t="shared" si="14"/>
        <v>73.8</v>
      </c>
      <c r="E196" s="412"/>
      <c r="F196" s="412"/>
      <c r="G196" s="412"/>
      <c r="H196" s="412"/>
      <c r="I196" s="412"/>
      <c r="J196" s="412"/>
      <c r="K196" s="412"/>
      <c r="M196" s="426">
        <v>40.5</v>
      </c>
      <c r="N196" s="440">
        <f t="shared" si="11"/>
        <v>4.1666666666666661</v>
      </c>
      <c r="O196" s="426">
        <v>137</v>
      </c>
      <c r="P196" s="440">
        <v>99.566666666666663</v>
      </c>
      <c r="Q196" s="428">
        <v>137</v>
      </c>
      <c r="R196" s="431">
        <f t="shared" si="13"/>
        <v>37.125</v>
      </c>
      <c r="S196" s="413"/>
      <c r="T196" s="413"/>
      <c r="U196" s="413"/>
      <c r="V196" s="413"/>
      <c r="W196" s="413"/>
    </row>
    <row r="197" spans="1:23">
      <c r="A197" s="412"/>
      <c r="B197" s="471"/>
      <c r="C197" s="416">
        <v>139</v>
      </c>
      <c r="D197" s="417">
        <f t="shared" si="14"/>
        <v>72.900000000000006</v>
      </c>
      <c r="E197" s="412"/>
      <c r="F197" s="412"/>
      <c r="G197" s="412"/>
      <c r="H197" s="412"/>
      <c r="I197" s="412"/>
      <c r="J197" s="412"/>
      <c r="K197" s="412"/>
      <c r="M197" s="426">
        <v>41</v>
      </c>
      <c r="N197" s="440">
        <f t="shared" si="11"/>
        <v>2.7777777777777777</v>
      </c>
      <c r="O197" s="426">
        <v>138</v>
      </c>
      <c r="P197" s="440">
        <v>98.6</v>
      </c>
      <c r="Q197" s="428">
        <v>138</v>
      </c>
      <c r="R197" s="431">
        <f t="shared" si="13"/>
        <v>36</v>
      </c>
      <c r="S197" s="413"/>
      <c r="T197" s="413"/>
      <c r="U197" s="413"/>
      <c r="V197" s="413"/>
      <c r="W197" s="413"/>
    </row>
    <row r="198" spans="1:23">
      <c r="A198" s="412"/>
      <c r="B198" s="471"/>
      <c r="C198" s="416">
        <v>140</v>
      </c>
      <c r="D198" s="417">
        <f t="shared" si="14"/>
        <v>72</v>
      </c>
      <c r="E198" s="412"/>
      <c r="F198" s="412"/>
      <c r="G198" s="412"/>
      <c r="H198" s="412"/>
      <c r="I198" s="412"/>
      <c r="J198" s="412"/>
      <c r="K198" s="412"/>
      <c r="M198" s="426">
        <v>41.5</v>
      </c>
      <c r="N198" s="440">
        <f t="shared" si="11"/>
        <v>1.3888888888888888</v>
      </c>
      <c r="O198" s="426">
        <v>139</v>
      </c>
      <c r="P198" s="440">
        <v>97.633333333333326</v>
      </c>
      <c r="Q198" s="428">
        <v>139</v>
      </c>
      <c r="R198" s="431">
        <f t="shared" si="13"/>
        <v>34.875</v>
      </c>
      <c r="S198" s="413"/>
      <c r="T198" s="413"/>
      <c r="U198" s="413"/>
      <c r="V198" s="413"/>
      <c r="W198" s="413"/>
    </row>
    <row r="199" spans="1:23">
      <c r="A199" s="412"/>
      <c r="B199" s="471"/>
      <c r="C199" s="416">
        <v>141</v>
      </c>
      <c r="D199" s="417">
        <f t="shared" si="14"/>
        <v>71.099999999999994</v>
      </c>
      <c r="E199" s="412"/>
      <c r="F199" s="412"/>
      <c r="G199" s="412"/>
      <c r="H199" s="412"/>
      <c r="I199" s="412"/>
      <c r="J199" s="412"/>
      <c r="K199" s="412"/>
      <c r="M199" s="457">
        <v>42</v>
      </c>
      <c r="N199" s="473">
        <f t="shared" si="11"/>
        <v>0</v>
      </c>
      <c r="O199" s="426">
        <v>140</v>
      </c>
      <c r="P199" s="440">
        <v>96.666666666666657</v>
      </c>
      <c r="Q199" s="428">
        <v>140</v>
      </c>
      <c r="R199" s="431">
        <f t="shared" si="13"/>
        <v>33.75</v>
      </c>
      <c r="S199" s="413"/>
      <c r="T199" s="413"/>
      <c r="U199" s="413"/>
      <c r="V199" s="413"/>
      <c r="W199" s="413"/>
    </row>
    <row r="200" spans="1:23">
      <c r="A200" s="412"/>
      <c r="B200" s="471"/>
      <c r="C200" s="416">
        <v>142</v>
      </c>
      <c r="D200" s="417">
        <f t="shared" si="14"/>
        <v>70.2</v>
      </c>
      <c r="E200" s="412"/>
      <c r="F200" s="412"/>
      <c r="G200" s="412"/>
      <c r="H200" s="412"/>
      <c r="I200" s="412"/>
      <c r="J200" s="412"/>
      <c r="K200" s="412"/>
      <c r="M200" s="413"/>
      <c r="N200" s="413"/>
      <c r="O200" s="426">
        <v>141</v>
      </c>
      <c r="P200" s="440">
        <v>95.7</v>
      </c>
      <c r="Q200" s="428">
        <v>141</v>
      </c>
      <c r="R200" s="431">
        <f t="shared" si="13"/>
        <v>32.625</v>
      </c>
      <c r="S200" s="413"/>
      <c r="T200" s="413"/>
      <c r="U200" s="413"/>
      <c r="V200" s="413"/>
      <c r="W200" s="413"/>
    </row>
    <row r="201" spans="1:23">
      <c r="A201" s="412"/>
      <c r="B201" s="471"/>
      <c r="C201" s="416">
        <v>143</v>
      </c>
      <c r="D201" s="417">
        <f t="shared" si="14"/>
        <v>69.3</v>
      </c>
      <c r="E201" s="412"/>
      <c r="F201" s="412"/>
      <c r="G201" s="412"/>
      <c r="H201" s="412"/>
      <c r="I201" s="412"/>
      <c r="J201" s="412"/>
      <c r="K201" s="412"/>
      <c r="M201" s="413"/>
      <c r="N201" s="413"/>
      <c r="O201" s="426">
        <v>142</v>
      </c>
      <c r="P201" s="440">
        <v>94.733333333333334</v>
      </c>
      <c r="Q201" s="428">
        <v>142</v>
      </c>
      <c r="R201" s="431">
        <f t="shared" si="13"/>
        <v>31.5</v>
      </c>
      <c r="S201" s="413"/>
      <c r="T201" s="413"/>
      <c r="U201" s="413"/>
      <c r="V201" s="413"/>
      <c r="W201" s="413"/>
    </row>
    <row r="202" spans="1:23">
      <c r="A202" s="412"/>
      <c r="B202" s="471"/>
      <c r="C202" s="416">
        <v>144</v>
      </c>
      <c r="D202" s="417">
        <f t="shared" si="14"/>
        <v>68.399999999999991</v>
      </c>
      <c r="E202" s="412"/>
      <c r="F202" s="412"/>
      <c r="G202" s="412"/>
      <c r="H202" s="412"/>
      <c r="I202" s="412"/>
      <c r="J202" s="412"/>
      <c r="K202" s="412"/>
      <c r="M202" s="413"/>
      <c r="N202" s="413"/>
      <c r="O202" s="426">
        <v>143</v>
      </c>
      <c r="P202" s="440">
        <v>93.766666666666666</v>
      </c>
      <c r="Q202" s="428">
        <v>143</v>
      </c>
      <c r="R202" s="431">
        <f t="shared" si="13"/>
        <v>30.375</v>
      </c>
      <c r="S202" s="413"/>
      <c r="T202" s="413"/>
      <c r="U202" s="413"/>
      <c r="V202" s="413"/>
      <c r="W202" s="413"/>
    </row>
    <row r="203" spans="1:23">
      <c r="A203" s="412"/>
      <c r="B203" s="471"/>
      <c r="C203" s="416">
        <v>145</v>
      </c>
      <c r="D203" s="417">
        <f t="shared" si="14"/>
        <v>67.5</v>
      </c>
      <c r="E203" s="412"/>
      <c r="F203" s="412"/>
      <c r="G203" s="412"/>
      <c r="H203" s="412"/>
      <c r="I203" s="412"/>
      <c r="J203" s="412"/>
      <c r="K203" s="412"/>
      <c r="M203" s="413"/>
      <c r="N203" s="413"/>
      <c r="O203" s="426">
        <v>144</v>
      </c>
      <c r="P203" s="440">
        <v>92.8</v>
      </c>
      <c r="Q203" s="428">
        <v>144</v>
      </c>
      <c r="R203" s="431">
        <f t="shared" si="13"/>
        <v>29.25</v>
      </c>
      <c r="S203" s="413"/>
      <c r="T203" s="413"/>
      <c r="U203" s="413"/>
      <c r="V203" s="413"/>
      <c r="W203" s="413"/>
    </row>
    <row r="204" spans="1:23">
      <c r="A204" s="412"/>
      <c r="B204" s="471"/>
      <c r="C204" s="416">
        <v>146</v>
      </c>
      <c r="D204" s="417">
        <f t="shared" si="14"/>
        <v>66.599999999999994</v>
      </c>
      <c r="E204" s="412"/>
      <c r="F204" s="412"/>
      <c r="G204" s="412"/>
      <c r="H204" s="412"/>
      <c r="I204" s="412"/>
      <c r="J204" s="412"/>
      <c r="K204" s="412"/>
      <c r="M204" s="413"/>
      <c r="N204" s="413"/>
      <c r="O204" s="426">
        <v>145</v>
      </c>
      <c r="P204" s="440">
        <v>91.833333333333343</v>
      </c>
      <c r="Q204" s="428">
        <v>145</v>
      </c>
      <c r="R204" s="431">
        <f t="shared" si="13"/>
        <v>28.125</v>
      </c>
      <c r="S204" s="413"/>
      <c r="T204" s="413"/>
      <c r="U204" s="413"/>
      <c r="V204" s="413"/>
      <c r="W204" s="413"/>
    </row>
    <row r="205" spans="1:23">
      <c r="A205" s="412"/>
      <c r="B205" s="471"/>
      <c r="C205" s="416">
        <v>147</v>
      </c>
      <c r="D205" s="417">
        <f t="shared" si="14"/>
        <v>65.7</v>
      </c>
      <c r="E205" s="412"/>
      <c r="F205" s="412"/>
      <c r="G205" s="412"/>
      <c r="H205" s="412"/>
      <c r="I205" s="412"/>
      <c r="J205" s="412"/>
      <c r="K205" s="412"/>
      <c r="M205" s="413"/>
      <c r="N205" s="413"/>
      <c r="O205" s="426">
        <v>146</v>
      </c>
      <c r="P205" s="440">
        <v>90.866666666666674</v>
      </c>
      <c r="Q205" s="428">
        <v>146</v>
      </c>
      <c r="R205" s="431">
        <f t="shared" si="13"/>
        <v>27</v>
      </c>
      <c r="S205" s="413"/>
      <c r="T205" s="413"/>
      <c r="U205" s="413"/>
      <c r="V205" s="413"/>
      <c r="W205" s="413"/>
    </row>
    <row r="206" spans="1:23">
      <c r="A206" s="412"/>
      <c r="B206" s="471"/>
      <c r="C206" s="416">
        <v>148</v>
      </c>
      <c r="D206" s="417">
        <f t="shared" si="14"/>
        <v>64.8</v>
      </c>
      <c r="E206" s="412"/>
      <c r="F206" s="412"/>
      <c r="G206" s="412"/>
      <c r="H206" s="412"/>
      <c r="I206" s="412"/>
      <c r="J206" s="412"/>
      <c r="K206" s="412"/>
      <c r="M206" s="413"/>
      <c r="N206" s="413"/>
      <c r="O206" s="426">
        <v>147</v>
      </c>
      <c r="P206" s="440">
        <v>89.9</v>
      </c>
      <c r="Q206" s="428">
        <v>147</v>
      </c>
      <c r="R206" s="431">
        <f t="shared" si="13"/>
        <v>25.875</v>
      </c>
      <c r="S206" s="413"/>
      <c r="T206" s="413"/>
      <c r="U206" s="413"/>
      <c r="V206" s="413"/>
      <c r="W206" s="413"/>
    </row>
    <row r="207" spans="1:23">
      <c r="A207" s="412"/>
      <c r="B207" s="471"/>
      <c r="C207" s="416">
        <v>149</v>
      </c>
      <c r="D207" s="417">
        <f t="shared" si="14"/>
        <v>63.899999999999991</v>
      </c>
      <c r="E207" s="412"/>
      <c r="F207" s="412"/>
      <c r="G207" s="412"/>
      <c r="H207" s="412"/>
      <c r="I207" s="412"/>
      <c r="J207" s="412"/>
      <c r="K207" s="412"/>
      <c r="M207" s="413"/>
      <c r="N207" s="413"/>
      <c r="O207" s="426">
        <v>148</v>
      </c>
      <c r="P207" s="440">
        <v>88.933333333333337</v>
      </c>
      <c r="Q207" s="428">
        <v>148</v>
      </c>
      <c r="R207" s="431">
        <f t="shared" si="13"/>
        <v>24.75</v>
      </c>
      <c r="S207" s="413"/>
      <c r="T207" s="413"/>
      <c r="U207" s="413"/>
      <c r="V207" s="413"/>
      <c r="W207" s="413"/>
    </row>
    <row r="208" spans="1:23">
      <c r="A208" s="412"/>
      <c r="B208" s="471"/>
      <c r="C208" s="416">
        <v>150</v>
      </c>
      <c r="D208" s="417">
        <f t="shared" si="14"/>
        <v>63</v>
      </c>
      <c r="E208" s="412"/>
      <c r="F208" s="412"/>
      <c r="G208" s="412"/>
      <c r="H208" s="412"/>
      <c r="I208" s="412"/>
      <c r="J208" s="412"/>
      <c r="K208" s="412"/>
      <c r="M208" s="413"/>
      <c r="N208" s="413"/>
      <c r="O208" s="426">
        <v>149</v>
      </c>
      <c r="P208" s="440">
        <v>87.966666666666669</v>
      </c>
      <c r="Q208" s="428">
        <v>149</v>
      </c>
      <c r="R208" s="431">
        <f t="shared" si="13"/>
        <v>23.625</v>
      </c>
      <c r="S208" s="413"/>
      <c r="T208" s="413"/>
      <c r="U208" s="413"/>
      <c r="V208" s="413"/>
      <c r="W208" s="413"/>
    </row>
    <row r="209" spans="1:23">
      <c r="A209" s="412"/>
      <c r="B209" s="471"/>
      <c r="C209" s="416">
        <v>151</v>
      </c>
      <c r="D209" s="417">
        <f t="shared" si="14"/>
        <v>62.099999999999994</v>
      </c>
      <c r="E209" s="412"/>
      <c r="F209" s="412"/>
      <c r="G209" s="412"/>
      <c r="H209" s="412"/>
      <c r="I209" s="412"/>
      <c r="J209" s="412"/>
      <c r="K209" s="412"/>
      <c r="M209" s="413"/>
      <c r="N209" s="413"/>
      <c r="O209" s="426">
        <v>150</v>
      </c>
      <c r="P209" s="440">
        <v>87</v>
      </c>
      <c r="Q209" s="428">
        <v>150</v>
      </c>
      <c r="R209" s="431">
        <f t="shared" si="13"/>
        <v>22.5</v>
      </c>
      <c r="S209" s="413"/>
      <c r="T209" s="413"/>
      <c r="U209" s="413"/>
      <c r="V209" s="413"/>
      <c r="W209" s="413"/>
    </row>
    <row r="210" spans="1:23">
      <c r="A210" s="412"/>
      <c r="B210" s="471"/>
      <c r="C210" s="416">
        <v>152</v>
      </c>
      <c r="D210" s="417">
        <f t="shared" si="14"/>
        <v>61.2</v>
      </c>
      <c r="E210" s="412"/>
      <c r="F210" s="412"/>
      <c r="G210" s="412"/>
      <c r="H210" s="412"/>
      <c r="I210" s="412"/>
      <c r="J210" s="412"/>
      <c r="K210" s="412"/>
      <c r="M210" s="413"/>
      <c r="N210" s="413"/>
      <c r="O210" s="426">
        <v>151</v>
      </c>
      <c r="P210" s="440">
        <v>86.033333333333331</v>
      </c>
      <c r="Q210" s="428">
        <v>151</v>
      </c>
      <c r="R210" s="431">
        <f t="shared" si="13"/>
        <v>21.375</v>
      </c>
      <c r="S210" s="413"/>
      <c r="T210" s="413"/>
      <c r="U210" s="413"/>
      <c r="V210" s="413"/>
      <c r="W210" s="413"/>
    </row>
    <row r="211" spans="1:23">
      <c r="A211" s="412"/>
      <c r="B211" s="471"/>
      <c r="C211" s="416">
        <v>153</v>
      </c>
      <c r="D211" s="417">
        <f t="shared" si="14"/>
        <v>60.3</v>
      </c>
      <c r="E211" s="412"/>
      <c r="F211" s="412"/>
      <c r="G211" s="412"/>
      <c r="H211" s="412"/>
      <c r="I211" s="412"/>
      <c r="J211" s="412"/>
      <c r="K211" s="412"/>
      <c r="M211" s="413"/>
      <c r="N211" s="413"/>
      <c r="O211" s="426">
        <v>152</v>
      </c>
      <c r="P211" s="440">
        <v>85.066666666666663</v>
      </c>
      <c r="Q211" s="428">
        <v>152</v>
      </c>
      <c r="R211" s="431">
        <f t="shared" si="13"/>
        <v>20.25</v>
      </c>
      <c r="S211" s="413"/>
      <c r="T211" s="413"/>
      <c r="U211" s="413"/>
      <c r="V211" s="413"/>
      <c r="W211" s="413"/>
    </row>
    <row r="212" spans="1:23">
      <c r="A212" s="412"/>
      <c r="B212" s="412"/>
      <c r="C212" s="416">
        <v>154</v>
      </c>
      <c r="D212" s="417">
        <f t="shared" si="14"/>
        <v>59.399999999999991</v>
      </c>
      <c r="E212" s="412"/>
      <c r="F212" s="412"/>
      <c r="G212" s="412"/>
      <c r="H212" s="412"/>
      <c r="I212" s="412"/>
      <c r="J212" s="412"/>
      <c r="K212" s="412"/>
      <c r="M212" s="413"/>
      <c r="N212" s="413"/>
      <c r="O212" s="426">
        <v>153</v>
      </c>
      <c r="P212" s="440">
        <v>84.1</v>
      </c>
      <c r="Q212" s="428">
        <v>153</v>
      </c>
      <c r="R212" s="431">
        <f t="shared" si="13"/>
        <v>19.125</v>
      </c>
      <c r="S212" s="413"/>
      <c r="T212" s="413"/>
      <c r="U212" s="413"/>
      <c r="V212" s="413"/>
      <c r="W212" s="413"/>
    </row>
    <row r="213" spans="1:23">
      <c r="A213" s="412"/>
      <c r="B213" s="412"/>
      <c r="C213" s="416">
        <v>155</v>
      </c>
      <c r="D213" s="417">
        <f t="shared" si="14"/>
        <v>58.5</v>
      </c>
      <c r="E213" s="412"/>
      <c r="F213" s="412"/>
      <c r="G213" s="412"/>
      <c r="H213" s="412"/>
      <c r="I213" s="412"/>
      <c r="J213" s="412"/>
      <c r="K213" s="412"/>
      <c r="M213" s="413"/>
      <c r="N213" s="413"/>
      <c r="O213" s="426">
        <v>154</v>
      </c>
      <c r="P213" s="440">
        <v>83.133333333333326</v>
      </c>
      <c r="Q213" s="428">
        <v>154</v>
      </c>
      <c r="R213" s="431">
        <f t="shared" si="13"/>
        <v>18</v>
      </c>
      <c r="S213" s="413"/>
      <c r="T213" s="413"/>
      <c r="U213" s="413"/>
      <c r="V213" s="413"/>
      <c r="W213" s="413"/>
    </row>
    <row r="214" spans="1:23">
      <c r="A214" s="412"/>
      <c r="B214" s="412"/>
      <c r="C214" s="416">
        <v>156</v>
      </c>
      <c r="D214" s="417">
        <f t="shared" si="14"/>
        <v>57.599999999999994</v>
      </c>
      <c r="E214" s="412"/>
      <c r="F214" s="412"/>
      <c r="G214" s="412"/>
      <c r="H214" s="412"/>
      <c r="I214" s="412"/>
      <c r="J214" s="412"/>
      <c r="K214" s="412"/>
      <c r="M214" s="413"/>
      <c r="N214" s="413"/>
      <c r="O214" s="426">
        <v>155</v>
      </c>
      <c r="P214" s="440">
        <v>82.166666666666657</v>
      </c>
      <c r="Q214" s="428">
        <v>155</v>
      </c>
      <c r="R214" s="431">
        <f t="shared" si="13"/>
        <v>16.875</v>
      </c>
      <c r="S214" s="413"/>
      <c r="T214" s="413"/>
      <c r="U214" s="413"/>
      <c r="V214" s="413"/>
      <c r="W214" s="413"/>
    </row>
    <row r="215" spans="1:23">
      <c r="A215" s="412"/>
      <c r="B215" s="412"/>
      <c r="C215" s="416">
        <v>157</v>
      </c>
      <c r="D215" s="417">
        <f t="shared" si="14"/>
        <v>56.7</v>
      </c>
      <c r="E215" s="412"/>
      <c r="F215" s="412"/>
      <c r="G215" s="412"/>
      <c r="H215" s="412"/>
      <c r="I215" s="412"/>
      <c r="J215" s="412"/>
      <c r="K215" s="412"/>
      <c r="M215" s="413"/>
      <c r="N215" s="413"/>
      <c r="O215" s="426">
        <v>156</v>
      </c>
      <c r="P215" s="440">
        <v>81.2</v>
      </c>
      <c r="Q215" s="428">
        <v>156</v>
      </c>
      <c r="R215" s="431">
        <f t="shared" si="13"/>
        <v>15.75</v>
      </c>
      <c r="S215" s="413"/>
      <c r="T215" s="413"/>
      <c r="U215" s="413"/>
      <c r="V215" s="413"/>
      <c r="W215" s="413"/>
    </row>
    <row r="216" spans="1:23">
      <c r="A216" s="412"/>
      <c r="B216" s="412"/>
      <c r="C216" s="416">
        <v>158</v>
      </c>
      <c r="D216" s="417">
        <f t="shared" si="14"/>
        <v>55.8</v>
      </c>
      <c r="E216" s="412"/>
      <c r="F216" s="412"/>
      <c r="G216" s="412"/>
      <c r="H216" s="412"/>
      <c r="I216" s="412"/>
      <c r="J216" s="412"/>
      <c r="K216" s="412"/>
      <c r="M216" s="413"/>
      <c r="N216" s="413"/>
      <c r="O216" s="426">
        <v>157</v>
      </c>
      <c r="P216" s="440">
        <v>80.233333333333334</v>
      </c>
      <c r="Q216" s="428">
        <v>157</v>
      </c>
      <c r="R216" s="431">
        <f t="shared" si="13"/>
        <v>14.625</v>
      </c>
      <c r="S216" s="413"/>
      <c r="T216" s="413"/>
      <c r="U216" s="413"/>
      <c r="V216" s="413"/>
      <c r="W216" s="413"/>
    </row>
    <row r="217" spans="1:23">
      <c r="A217" s="412"/>
      <c r="B217" s="412"/>
      <c r="C217" s="416">
        <v>159</v>
      </c>
      <c r="D217" s="417">
        <f t="shared" si="14"/>
        <v>54.899999999999991</v>
      </c>
      <c r="E217" s="412"/>
      <c r="F217" s="412"/>
      <c r="G217" s="412"/>
      <c r="H217" s="412"/>
      <c r="I217" s="412"/>
      <c r="J217" s="412"/>
      <c r="K217" s="412"/>
      <c r="M217" s="413"/>
      <c r="N217" s="413"/>
      <c r="O217" s="426">
        <v>158</v>
      </c>
      <c r="P217" s="440">
        <v>79.266666666666666</v>
      </c>
      <c r="Q217" s="428">
        <v>158</v>
      </c>
      <c r="R217" s="431">
        <f t="shared" si="13"/>
        <v>13.5</v>
      </c>
      <c r="S217" s="413"/>
      <c r="T217" s="413"/>
      <c r="U217" s="413"/>
      <c r="V217" s="413"/>
      <c r="W217" s="413"/>
    </row>
    <row r="218" spans="1:23">
      <c r="A218" s="412"/>
      <c r="B218" s="412"/>
      <c r="C218" s="416">
        <v>160</v>
      </c>
      <c r="D218" s="417">
        <f t="shared" si="14"/>
        <v>54</v>
      </c>
      <c r="E218" s="412"/>
      <c r="F218" s="412"/>
      <c r="G218" s="412"/>
      <c r="H218" s="412"/>
      <c r="I218" s="412"/>
      <c r="J218" s="412"/>
      <c r="K218" s="412"/>
      <c r="M218" s="413"/>
      <c r="N218" s="413"/>
      <c r="O218" s="426">
        <v>159</v>
      </c>
      <c r="P218" s="440">
        <v>78.3</v>
      </c>
      <c r="Q218" s="428">
        <v>159</v>
      </c>
      <c r="R218" s="431">
        <f t="shared" si="13"/>
        <v>12.375</v>
      </c>
      <c r="S218" s="413"/>
      <c r="T218" s="413"/>
      <c r="U218" s="413"/>
      <c r="V218" s="413"/>
      <c r="W218" s="413"/>
    </row>
    <row r="219" spans="1:23">
      <c r="A219" s="412"/>
      <c r="B219" s="412"/>
      <c r="C219" s="416">
        <v>161</v>
      </c>
      <c r="D219" s="417">
        <f t="shared" si="14"/>
        <v>53.099999999999994</v>
      </c>
      <c r="E219" s="412"/>
      <c r="F219" s="412"/>
      <c r="G219" s="412"/>
      <c r="H219" s="412"/>
      <c r="I219" s="412"/>
      <c r="J219" s="412"/>
      <c r="K219" s="412"/>
      <c r="M219" s="413"/>
      <c r="N219" s="413"/>
      <c r="O219" s="426">
        <v>160</v>
      </c>
      <c r="P219" s="440">
        <v>77.333333333333329</v>
      </c>
      <c r="Q219" s="428">
        <v>160</v>
      </c>
      <c r="R219" s="431">
        <f t="shared" si="13"/>
        <v>11.25</v>
      </c>
      <c r="S219" s="413"/>
      <c r="T219" s="413"/>
      <c r="U219" s="413"/>
      <c r="V219" s="413"/>
      <c r="W219" s="413"/>
    </row>
    <row r="220" spans="1:23">
      <c r="A220" s="412"/>
      <c r="B220" s="412"/>
      <c r="C220" s="416">
        <v>162</v>
      </c>
      <c r="D220" s="417">
        <f t="shared" si="14"/>
        <v>52.2</v>
      </c>
      <c r="E220" s="412"/>
      <c r="F220" s="412"/>
      <c r="G220" s="412"/>
      <c r="H220" s="412"/>
      <c r="I220" s="412"/>
      <c r="J220" s="412"/>
      <c r="K220" s="412"/>
      <c r="M220" s="413"/>
      <c r="N220" s="413"/>
      <c r="O220" s="426">
        <v>161</v>
      </c>
      <c r="P220" s="440">
        <v>76.36666666666666</v>
      </c>
      <c r="Q220" s="428">
        <v>161</v>
      </c>
      <c r="R220" s="431">
        <f t="shared" si="13"/>
        <v>10.125</v>
      </c>
      <c r="S220" s="413"/>
      <c r="T220" s="413"/>
      <c r="U220" s="413"/>
      <c r="V220" s="413"/>
      <c r="W220" s="413"/>
    </row>
    <row r="221" spans="1:23">
      <c r="A221" s="412"/>
      <c r="B221" s="412"/>
      <c r="C221" s="416">
        <v>163</v>
      </c>
      <c r="D221" s="417">
        <f t="shared" si="14"/>
        <v>51.3</v>
      </c>
      <c r="E221" s="412"/>
      <c r="F221" s="412"/>
      <c r="G221" s="412"/>
      <c r="H221" s="412"/>
      <c r="I221" s="412"/>
      <c r="J221" s="412"/>
      <c r="K221" s="412"/>
      <c r="M221" s="413"/>
      <c r="N221" s="413"/>
      <c r="O221" s="426">
        <v>162</v>
      </c>
      <c r="P221" s="440">
        <v>75.400000000000006</v>
      </c>
      <c r="Q221" s="428">
        <v>162</v>
      </c>
      <c r="R221" s="431">
        <f t="shared" si="13"/>
        <v>9</v>
      </c>
      <c r="S221" s="413"/>
      <c r="T221" s="413"/>
      <c r="U221" s="413"/>
      <c r="V221" s="413"/>
      <c r="W221" s="413"/>
    </row>
    <row r="222" spans="1:23">
      <c r="A222" s="412"/>
      <c r="B222" s="412"/>
      <c r="C222" s="416">
        <v>164</v>
      </c>
      <c r="D222" s="417">
        <f t="shared" si="14"/>
        <v>50.399999999999991</v>
      </c>
      <c r="E222" s="412"/>
      <c r="F222" s="412"/>
      <c r="G222" s="412"/>
      <c r="H222" s="412"/>
      <c r="I222" s="412"/>
      <c r="J222" s="412"/>
      <c r="K222" s="412"/>
      <c r="M222" s="413"/>
      <c r="N222" s="413"/>
      <c r="O222" s="426">
        <v>163</v>
      </c>
      <c r="P222" s="440">
        <v>74.433333333333337</v>
      </c>
      <c r="Q222" s="428">
        <v>163</v>
      </c>
      <c r="R222" s="431">
        <f t="shared" si="13"/>
        <v>7.875</v>
      </c>
      <c r="S222" s="413"/>
      <c r="T222" s="413"/>
      <c r="U222" s="413"/>
      <c r="V222" s="413"/>
      <c r="W222" s="413"/>
    </row>
    <row r="223" spans="1:23">
      <c r="A223" s="412"/>
      <c r="B223" s="412"/>
      <c r="C223" s="416">
        <v>165</v>
      </c>
      <c r="D223" s="417">
        <f t="shared" si="14"/>
        <v>49.5</v>
      </c>
      <c r="E223" s="412"/>
      <c r="F223" s="412"/>
      <c r="G223" s="412"/>
      <c r="H223" s="412"/>
      <c r="I223" s="412"/>
      <c r="J223" s="412"/>
      <c r="K223" s="412"/>
      <c r="M223" s="413"/>
      <c r="N223" s="413"/>
      <c r="O223" s="426">
        <v>164</v>
      </c>
      <c r="P223" s="440">
        <v>73.466666666666669</v>
      </c>
      <c r="Q223" s="428">
        <v>164</v>
      </c>
      <c r="R223" s="431">
        <f t="shared" si="13"/>
        <v>6.75</v>
      </c>
      <c r="S223" s="413"/>
      <c r="T223" s="413"/>
      <c r="U223" s="413"/>
      <c r="V223" s="413"/>
      <c r="W223" s="413"/>
    </row>
    <row r="224" spans="1:23">
      <c r="A224" s="412"/>
      <c r="B224" s="412"/>
      <c r="C224" s="416">
        <v>166</v>
      </c>
      <c r="D224" s="417">
        <f t="shared" si="14"/>
        <v>48.599999999999994</v>
      </c>
      <c r="E224" s="412"/>
      <c r="F224" s="412"/>
      <c r="G224" s="412"/>
      <c r="H224" s="412"/>
      <c r="I224" s="412"/>
      <c r="J224" s="412"/>
      <c r="K224" s="412"/>
      <c r="M224" s="413"/>
      <c r="N224" s="413"/>
      <c r="O224" s="426">
        <v>165</v>
      </c>
      <c r="P224" s="440">
        <v>72.5</v>
      </c>
      <c r="Q224" s="428">
        <v>165</v>
      </c>
      <c r="R224" s="431">
        <f t="shared" si="13"/>
        <v>5.625</v>
      </c>
      <c r="S224" s="413"/>
      <c r="T224" s="413"/>
      <c r="U224" s="413"/>
      <c r="V224" s="413"/>
      <c r="W224" s="413"/>
    </row>
    <row r="225" spans="1:23">
      <c r="A225" s="412"/>
      <c r="B225" s="412"/>
      <c r="C225" s="416">
        <v>167</v>
      </c>
      <c r="D225" s="417">
        <f t="shared" si="14"/>
        <v>47.7</v>
      </c>
      <c r="E225" s="412"/>
      <c r="F225" s="412"/>
      <c r="G225" s="412"/>
      <c r="H225" s="412"/>
      <c r="I225" s="412"/>
      <c r="J225" s="412"/>
      <c r="K225" s="412"/>
      <c r="M225" s="413"/>
      <c r="N225" s="413"/>
      <c r="O225" s="426">
        <v>166</v>
      </c>
      <c r="P225" s="440">
        <v>71.533333333333331</v>
      </c>
      <c r="Q225" s="428">
        <v>166</v>
      </c>
      <c r="R225" s="431">
        <f t="shared" si="13"/>
        <v>4.5</v>
      </c>
      <c r="S225" s="413"/>
      <c r="T225" s="413"/>
      <c r="U225" s="413"/>
      <c r="V225" s="413"/>
      <c r="W225" s="413"/>
    </row>
    <row r="226" spans="1:23">
      <c r="A226" s="412"/>
      <c r="B226" s="412"/>
      <c r="C226" s="416">
        <v>168</v>
      </c>
      <c r="D226" s="417">
        <f t="shared" si="14"/>
        <v>46.8</v>
      </c>
      <c r="E226" s="412"/>
      <c r="F226" s="412"/>
      <c r="G226" s="412"/>
      <c r="H226" s="412"/>
      <c r="I226" s="412"/>
      <c r="J226" s="412"/>
      <c r="K226" s="412"/>
      <c r="M226" s="413"/>
      <c r="N226" s="413"/>
      <c r="O226" s="426">
        <v>167</v>
      </c>
      <c r="P226" s="440">
        <v>70.566666666666663</v>
      </c>
      <c r="Q226" s="428">
        <v>167</v>
      </c>
      <c r="R226" s="431">
        <f t="shared" si="13"/>
        <v>3.375</v>
      </c>
      <c r="S226" s="413"/>
      <c r="T226" s="413"/>
      <c r="U226" s="413"/>
      <c r="V226" s="413"/>
      <c r="W226" s="413"/>
    </row>
    <row r="227" spans="1:23">
      <c r="A227" s="412"/>
      <c r="B227" s="412"/>
      <c r="C227" s="416">
        <v>169</v>
      </c>
      <c r="D227" s="417">
        <f t="shared" si="14"/>
        <v>45.899999999999991</v>
      </c>
      <c r="E227" s="412"/>
      <c r="F227" s="412"/>
      <c r="G227" s="412"/>
      <c r="H227" s="412"/>
      <c r="I227" s="412"/>
      <c r="J227" s="412"/>
      <c r="K227" s="412"/>
      <c r="M227" s="413"/>
      <c r="N227" s="413"/>
      <c r="O227" s="426">
        <v>168</v>
      </c>
      <c r="P227" s="440">
        <v>69.599999999999994</v>
      </c>
      <c r="Q227" s="428">
        <v>168</v>
      </c>
      <c r="R227" s="431">
        <f t="shared" si="13"/>
        <v>2.25</v>
      </c>
      <c r="S227" s="413"/>
      <c r="T227" s="413"/>
      <c r="U227" s="413"/>
      <c r="V227" s="413"/>
      <c r="W227" s="413"/>
    </row>
    <row r="228" spans="1:23">
      <c r="A228" s="412"/>
      <c r="B228" s="412"/>
      <c r="C228" s="416">
        <v>170</v>
      </c>
      <c r="D228" s="417">
        <f t="shared" si="14"/>
        <v>45</v>
      </c>
      <c r="E228" s="412"/>
      <c r="F228" s="412"/>
      <c r="G228" s="412"/>
      <c r="H228" s="412"/>
      <c r="I228" s="412"/>
      <c r="J228" s="412"/>
      <c r="K228" s="412"/>
      <c r="M228" s="413"/>
      <c r="N228" s="413"/>
      <c r="O228" s="426">
        <v>169</v>
      </c>
      <c r="P228" s="440">
        <v>68.633333333333326</v>
      </c>
      <c r="Q228" s="428">
        <v>169</v>
      </c>
      <c r="R228" s="431">
        <f t="shared" si="13"/>
        <v>1.125</v>
      </c>
      <c r="S228" s="413"/>
      <c r="T228" s="413"/>
      <c r="U228" s="413"/>
      <c r="V228" s="413"/>
      <c r="W228" s="413"/>
    </row>
    <row r="229" spans="1:23">
      <c r="A229" s="412"/>
      <c r="B229" s="412"/>
      <c r="C229" s="416">
        <v>171</v>
      </c>
      <c r="D229" s="417">
        <f t="shared" si="14"/>
        <v>44.099999999999994</v>
      </c>
      <c r="E229" s="412"/>
      <c r="F229" s="412"/>
      <c r="G229" s="412"/>
      <c r="H229" s="412"/>
      <c r="I229" s="412"/>
      <c r="J229" s="412"/>
      <c r="K229" s="412"/>
      <c r="M229" s="413"/>
      <c r="N229" s="413"/>
      <c r="O229" s="426">
        <v>170</v>
      </c>
      <c r="P229" s="440">
        <v>67.666666666666671</v>
      </c>
      <c r="Q229" s="474">
        <v>170</v>
      </c>
      <c r="R229" s="475">
        <f t="shared" si="13"/>
        <v>0</v>
      </c>
      <c r="S229" s="413"/>
      <c r="T229" s="413"/>
      <c r="U229" s="413"/>
      <c r="V229" s="413"/>
      <c r="W229" s="413"/>
    </row>
    <row r="230" spans="1:23">
      <c r="A230" s="412"/>
      <c r="B230" s="412"/>
      <c r="C230" s="416">
        <v>172</v>
      </c>
      <c r="D230" s="417">
        <f t="shared" si="14"/>
        <v>43.2</v>
      </c>
      <c r="E230" s="412"/>
      <c r="F230" s="412"/>
      <c r="G230" s="412"/>
      <c r="H230" s="412"/>
      <c r="I230" s="412"/>
      <c r="J230" s="412"/>
      <c r="K230" s="412"/>
      <c r="M230" s="413"/>
      <c r="N230" s="413"/>
      <c r="O230" s="426">
        <v>171</v>
      </c>
      <c r="P230" s="440">
        <v>66.7</v>
      </c>
      <c r="Q230" s="413"/>
      <c r="R230" s="413"/>
      <c r="S230" s="413"/>
      <c r="T230" s="413"/>
      <c r="U230" s="413"/>
      <c r="V230" s="413"/>
      <c r="W230" s="413"/>
    </row>
    <row r="231" spans="1:23">
      <c r="A231" s="412"/>
      <c r="B231" s="412"/>
      <c r="C231" s="416">
        <v>173</v>
      </c>
      <c r="D231" s="417">
        <f t="shared" si="14"/>
        <v>42.3</v>
      </c>
      <c r="E231" s="412"/>
      <c r="F231" s="412"/>
      <c r="G231" s="412"/>
      <c r="H231" s="412"/>
      <c r="I231" s="412"/>
      <c r="J231" s="412"/>
      <c r="K231" s="412"/>
      <c r="M231" s="413"/>
      <c r="N231" s="413"/>
      <c r="O231" s="426">
        <v>172</v>
      </c>
      <c r="P231" s="440">
        <v>65.733333333333334</v>
      </c>
      <c r="Q231" s="413"/>
      <c r="R231" s="413"/>
      <c r="S231" s="413"/>
      <c r="T231" s="413"/>
      <c r="U231" s="413"/>
      <c r="V231" s="413"/>
      <c r="W231" s="413"/>
    </row>
    <row r="232" spans="1:23">
      <c r="A232" s="412"/>
      <c r="B232" s="412"/>
      <c r="C232" s="416">
        <v>174</v>
      </c>
      <c r="D232" s="417">
        <f t="shared" si="14"/>
        <v>41.399999999999991</v>
      </c>
      <c r="E232" s="412"/>
      <c r="F232" s="412"/>
      <c r="G232" s="412"/>
      <c r="H232" s="412"/>
      <c r="I232" s="412"/>
      <c r="J232" s="412"/>
      <c r="K232" s="412"/>
      <c r="M232" s="413"/>
      <c r="N232" s="413"/>
      <c r="O232" s="426">
        <v>173</v>
      </c>
      <c r="P232" s="440">
        <v>64.766666666666666</v>
      </c>
      <c r="Q232" s="413"/>
      <c r="R232" s="413"/>
      <c r="S232" s="413"/>
      <c r="T232" s="413"/>
      <c r="U232" s="413"/>
      <c r="V232" s="413"/>
      <c r="W232" s="413"/>
    </row>
    <row r="233" spans="1:23">
      <c r="A233" s="412"/>
      <c r="B233" s="412"/>
      <c r="C233" s="416">
        <v>175</v>
      </c>
      <c r="D233" s="417">
        <f t="shared" si="14"/>
        <v>40.5</v>
      </c>
      <c r="E233" s="412"/>
      <c r="F233" s="412"/>
      <c r="G233" s="412"/>
      <c r="H233" s="412"/>
      <c r="I233" s="412"/>
      <c r="J233" s="412"/>
      <c r="K233" s="412"/>
      <c r="M233" s="413"/>
      <c r="N233" s="413"/>
      <c r="O233" s="426">
        <v>174</v>
      </c>
      <c r="P233" s="440">
        <v>63.8</v>
      </c>
      <c r="Q233" s="413"/>
      <c r="R233" s="413"/>
      <c r="S233" s="413"/>
      <c r="T233" s="413"/>
      <c r="U233" s="413"/>
      <c r="V233" s="413"/>
      <c r="W233" s="413"/>
    </row>
    <row r="234" spans="1:23">
      <c r="A234" s="412"/>
      <c r="B234" s="412"/>
      <c r="C234" s="416">
        <v>176</v>
      </c>
      <c r="D234" s="417">
        <f t="shared" si="14"/>
        <v>39.599999999999994</v>
      </c>
      <c r="E234" s="412"/>
      <c r="F234" s="412"/>
      <c r="G234" s="412"/>
      <c r="H234" s="412"/>
      <c r="I234" s="412"/>
      <c r="J234" s="412"/>
      <c r="K234" s="412"/>
      <c r="M234" s="413"/>
      <c r="N234" s="413"/>
      <c r="O234" s="426">
        <v>175</v>
      </c>
      <c r="P234" s="440">
        <v>62.833333333333329</v>
      </c>
      <c r="Q234" s="413"/>
      <c r="R234" s="413"/>
      <c r="S234" s="413"/>
      <c r="T234" s="413"/>
      <c r="U234" s="413"/>
      <c r="V234" s="413"/>
      <c r="W234" s="413"/>
    </row>
    <row r="235" spans="1:23">
      <c r="A235" s="412"/>
      <c r="B235" s="412"/>
      <c r="C235" s="416">
        <v>177</v>
      </c>
      <c r="D235" s="417">
        <f t="shared" si="14"/>
        <v>38.700000000000003</v>
      </c>
      <c r="E235" s="412"/>
      <c r="F235" s="412"/>
      <c r="G235" s="412"/>
      <c r="H235" s="412"/>
      <c r="I235" s="412"/>
      <c r="J235" s="412"/>
      <c r="K235" s="412"/>
      <c r="M235" s="413"/>
      <c r="N235" s="413"/>
      <c r="O235" s="426">
        <v>176</v>
      </c>
      <c r="P235" s="440">
        <v>61.86666666666666</v>
      </c>
      <c r="Q235" s="413"/>
      <c r="R235" s="413"/>
      <c r="S235" s="413"/>
      <c r="T235" s="413"/>
      <c r="U235" s="413"/>
      <c r="V235" s="413"/>
      <c r="W235" s="413"/>
    </row>
    <row r="236" spans="1:23">
      <c r="A236" s="412"/>
      <c r="B236" s="412"/>
      <c r="C236" s="416">
        <v>178</v>
      </c>
      <c r="D236" s="417">
        <f t="shared" si="14"/>
        <v>37.799999999999997</v>
      </c>
      <c r="E236" s="412"/>
      <c r="F236" s="412"/>
      <c r="G236" s="412"/>
      <c r="H236" s="412"/>
      <c r="I236" s="412"/>
      <c r="J236" s="412"/>
      <c r="K236" s="412"/>
      <c r="M236" s="413"/>
      <c r="N236" s="413"/>
      <c r="O236" s="426">
        <v>177</v>
      </c>
      <c r="P236" s="440">
        <v>60.900000000000006</v>
      </c>
      <c r="Q236" s="413"/>
      <c r="R236" s="413"/>
      <c r="S236" s="413"/>
      <c r="T236" s="413"/>
      <c r="U236" s="413"/>
      <c r="V236" s="413"/>
      <c r="W236" s="413"/>
    </row>
    <row r="237" spans="1:23">
      <c r="A237" s="412"/>
      <c r="B237" s="412"/>
      <c r="C237" s="416">
        <v>179</v>
      </c>
      <c r="D237" s="417">
        <f t="shared" si="14"/>
        <v>36.899999999999991</v>
      </c>
      <c r="E237" s="412"/>
      <c r="F237" s="412"/>
      <c r="G237" s="412"/>
      <c r="H237" s="412"/>
      <c r="I237" s="412"/>
      <c r="J237" s="412"/>
      <c r="K237" s="412"/>
      <c r="M237" s="413"/>
      <c r="N237" s="413"/>
      <c r="O237" s="426">
        <v>178</v>
      </c>
      <c r="P237" s="440">
        <v>59.933333333333337</v>
      </c>
      <c r="Q237" s="413"/>
      <c r="R237" s="413"/>
      <c r="S237" s="413"/>
      <c r="T237" s="413"/>
      <c r="U237" s="413"/>
      <c r="V237" s="413"/>
      <c r="W237" s="413"/>
    </row>
    <row r="238" spans="1:23">
      <c r="A238" s="412"/>
      <c r="B238" s="412"/>
      <c r="C238" s="416">
        <v>180</v>
      </c>
      <c r="D238" s="417">
        <f t="shared" si="14"/>
        <v>36</v>
      </c>
      <c r="E238" s="412"/>
      <c r="F238" s="412"/>
      <c r="G238" s="412"/>
      <c r="H238" s="412"/>
      <c r="I238" s="412"/>
      <c r="J238" s="412"/>
      <c r="K238" s="412"/>
      <c r="M238" s="413"/>
      <c r="N238" s="413"/>
      <c r="O238" s="426">
        <v>179</v>
      </c>
      <c r="P238" s="440">
        <v>58.966666666666669</v>
      </c>
      <c r="Q238" s="413"/>
      <c r="R238" s="413"/>
      <c r="S238" s="413"/>
      <c r="T238" s="413"/>
      <c r="U238" s="413"/>
      <c r="V238" s="413"/>
      <c r="W238" s="413"/>
    </row>
    <row r="239" spans="1:23">
      <c r="A239" s="412"/>
      <c r="B239" s="412"/>
      <c r="C239" s="416">
        <v>181</v>
      </c>
      <c r="D239" s="417">
        <f t="shared" si="14"/>
        <v>35.099999999999994</v>
      </c>
      <c r="E239" s="412"/>
      <c r="F239" s="412"/>
      <c r="G239" s="412"/>
      <c r="H239" s="412"/>
      <c r="I239" s="412"/>
      <c r="J239" s="412"/>
      <c r="K239" s="412"/>
      <c r="M239" s="413"/>
      <c r="N239" s="413"/>
      <c r="O239" s="426">
        <v>180</v>
      </c>
      <c r="P239" s="440">
        <v>58</v>
      </c>
      <c r="Q239" s="413"/>
      <c r="R239" s="413"/>
      <c r="S239" s="413"/>
      <c r="T239" s="413"/>
      <c r="U239" s="413"/>
      <c r="V239" s="413"/>
      <c r="W239" s="413"/>
    </row>
    <row r="240" spans="1:23">
      <c r="A240" s="412"/>
      <c r="B240" s="412"/>
      <c r="C240" s="416">
        <v>182</v>
      </c>
      <c r="D240" s="417">
        <f t="shared" si="14"/>
        <v>34.200000000000003</v>
      </c>
      <c r="E240" s="412"/>
      <c r="F240" s="412"/>
      <c r="G240" s="412"/>
      <c r="H240" s="412"/>
      <c r="I240" s="412"/>
      <c r="J240" s="412"/>
      <c r="K240" s="412"/>
      <c r="M240" s="413"/>
      <c r="N240" s="413"/>
      <c r="O240" s="426">
        <v>181</v>
      </c>
      <c r="P240" s="440">
        <v>57.033333333333331</v>
      </c>
      <c r="Q240" s="413"/>
      <c r="R240" s="413"/>
      <c r="S240" s="413"/>
      <c r="T240" s="413"/>
      <c r="U240" s="413"/>
      <c r="V240" s="413"/>
      <c r="W240" s="413"/>
    </row>
    <row r="241" spans="1:23">
      <c r="A241" s="412"/>
      <c r="B241" s="412"/>
      <c r="C241" s="416">
        <v>183</v>
      </c>
      <c r="D241" s="417">
        <f t="shared" si="14"/>
        <v>33.299999999999997</v>
      </c>
      <c r="E241" s="412"/>
      <c r="F241" s="412"/>
      <c r="G241" s="412"/>
      <c r="H241" s="412"/>
      <c r="I241" s="412"/>
      <c r="J241" s="412"/>
      <c r="K241" s="412"/>
      <c r="M241" s="413"/>
      <c r="N241" s="413"/>
      <c r="O241" s="426">
        <v>182</v>
      </c>
      <c r="P241" s="440">
        <v>56.066666666666663</v>
      </c>
      <c r="Q241" s="413"/>
      <c r="R241" s="413"/>
      <c r="S241" s="413"/>
      <c r="T241" s="413"/>
      <c r="U241" s="413"/>
      <c r="V241" s="413"/>
      <c r="W241" s="413"/>
    </row>
    <row r="242" spans="1:23">
      <c r="A242" s="412"/>
      <c r="B242" s="412"/>
      <c r="C242" s="416">
        <v>184</v>
      </c>
      <c r="D242" s="417">
        <f t="shared" si="14"/>
        <v>32.399999999999991</v>
      </c>
      <c r="E242" s="412"/>
      <c r="F242" s="412"/>
      <c r="G242" s="412"/>
      <c r="H242" s="412"/>
      <c r="I242" s="412"/>
      <c r="J242" s="412"/>
      <c r="K242" s="412"/>
      <c r="M242" s="413"/>
      <c r="N242" s="413"/>
      <c r="O242" s="426">
        <v>183</v>
      </c>
      <c r="P242" s="440">
        <v>55.099999999999994</v>
      </c>
      <c r="Q242" s="413"/>
      <c r="R242" s="413"/>
      <c r="S242" s="413"/>
      <c r="T242" s="413"/>
      <c r="U242" s="413"/>
      <c r="V242" s="413"/>
      <c r="W242" s="413"/>
    </row>
    <row r="243" spans="1:23">
      <c r="A243" s="412"/>
      <c r="B243" s="412"/>
      <c r="C243" s="416">
        <v>185</v>
      </c>
      <c r="D243" s="417">
        <f t="shared" si="14"/>
        <v>31.5</v>
      </c>
      <c r="E243" s="412"/>
      <c r="F243" s="412"/>
      <c r="G243" s="412"/>
      <c r="H243" s="412"/>
      <c r="I243" s="412"/>
      <c r="J243" s="412"/>
      <c r="K243" s="412"/>
      <c r="M243" s="413"/>
      <c r="N243" s="413"/>
      <c r="O243" s="426">
        <v>184</v>
      </c>
      <c r="P243" s="440">
        <v>54.133333333333326</v>
      </c>
      <c r="Q243" s="413"/>
      <c r="R243" s="413"/>
      <c r="S243" s="413"/>
      <c r="T243" s="413"/>
      <c r="U243" s="413"/>
      <c r="V243" s="413"/>
      <c r="W243" s="413"/>
    </row>
    <row r="244" spans="1:23">
      <c r="A244" s="412"/>
      <c r="B244" s="412"/>
      <c r="C244" s="416">
        <v>186</v>
      </c>
      <c r="D244" s="417">
        <f t="shared" si="14"/>
        <v>30.599999999999994</v>
      </c>
      <c r="E244" s="412"/>
      <c r="F244" s="412"/>
      <c r="G244" s="412"/>
      <c r="H244" s="412"/>
      <c r="I244" s="412"/>
      <c r="J244" s="412"/>
      <c r="K244" s="412"/>
      <c r="M244" s="413"/>
      <c r="N244" s="413"/>
      <c r="O244" s="426">
        <v>185</v>
      </c>
      <c r="P244" s="440">
        <v>53.166666666666671</v>
      </c>
      <c r="Q244" s="413"/>
      <c r="R244" s="413"/>
      <c r="S244" s="413"/>
      <c r="T244" s="413"/>
      <c r="U244" s="413"/>
      <c r="V244" s="413"/>
      <c r="W244" s="413"/>
    </row>
    <row r="245" spans="1:23">
      <c r="A245" s="412"/>
      <c r="B245" s="412"/>
      <c r="C245" s="416">
        <v>187</v>
      </c>
      <c r="D245" s="417">
        <f t="shared" si="14"/>
        <v>29.700000000000003</v>
      </c>
      <c r="E245" s="412"/>
      <c r="F245" s="412"/>
      <c r="G245" s="412"/>
      <c r="H245" s="412"/>
      <c r="I245" s="412"/>
      <c r="J245" s="412"/>
      <c r="K245" s="412"/>
      <c r="M245" s="413"/>
      <c r="N245" s="413"/>
      <c r="O245" s="426">
        <v>186</v>
      </c>
      <c r="P245" s="440">
        <v>52.2</v>
      </c>
      <c r="Q245" s="413"/>
      <c r="R245" s="413"/>
      <c r="S245" s="413"/>
      <c r="T245" s="413"/>
      <c r="U245" s="413"/>
      <c r="V245" s="413"/>
      <c r="W245" s="413"/>
    </row>
    <row r="246" spans="1:23">
      <c r="A246" s="412"/>
      <c r="B246" s="412"/>
      <c r="C246" s="416">
        <v>188</v>
      </c>
      <c r="D246" s="417">
        <f t="shared" si="14"/>
        <v>28.799999999999997</v>
      </c>
      <c r="E246" s="412"/>
      <c r="F246" s="412"/>
      <c r="G246" s="412"/>
      <c r="H246" s="412"/>
      <c r="I246" s="412"/>
      <c r="J246" s="412"/>
      <c r="K246" s="412"/>
      <c r="M246" s="413"/>
      <c r="N246" s="413"/>
      <c r="O246" s="426">
        <v>187</v>
      </c>
      <c r="P246" s="440">
        <v>51.233333333333334</v>
      </c>
      <c r="Q246" s="413"/>
      <c r="R246" s="413"/>
      <c r="S246" s="413"/>
      <c r="T246" s="413"/>
      <c r="U246" s="413"/>
      <c r="V246" s="413"/>
      <c r="W246" s="413"/>
    </row>
    <row r="247" spans="1:23">
      <c r="A247" s="412"/>
      <c r="B247" s="412"/>
      <c r="C247" s="416">
        <v>189</v>
      </c>
      <c r="D247" s="417">
        <f t="shared" si="14"/>
        <v>27.899999999999991</v>
      </c>
      <c r="E247" s="412"/>
      <c r="F247" s="412"/>
      <c r="G247" s="412"/>
      <c r="H247" s="412"/>
      <c r="I247" s="412"/>
      <c r="J247" s="412"/>
      <c r="K247" s="412"/>
      <c r="M247" s="413"/>
      <c r="N247" s="413"/>
      <c r="O247" s="426">
        <v>188</v>
      </c>
      <c r="P247" s="440">
        <v>50.266666666666666</v>
      </c>
      <c r="Q247" s="413"/>
      <c r="R247" s="413"/>
      <c r="S247" s="413"/>
      <c r="T247" s="413"/>
      <c r="U247" s="413"/>
      <c r="V247" s="413"/>
      <c r="W247" s="413"/>
    </row>
    <row r="248" spans="1:23">
      <c r="A248" s="412"/>
      <c r="B248" s="412"/>
      <c r="C248" s="416">
        <v>190</v>
      </c>
      <c r="D248" s="417">
        <f t="shared" si="14"/>
        <v>27</v>
      </c>
      <c r="E248" s="412"/>
      <c r="F248" s="412"/>
      <c r="G248" s="412"/>
      <c r="H248" s="412"/>
      <c r="I248" s="412"/>
      <c r="J248" s="412"/>
      <c r="K248" s="412"/>
      <c r="M248" s="413"/>
      <c r="N248" s="413"/>
      <c r="O248" s="426">
        <v>189</v>
      </c>
      <c r="P248" s="440">
        <v>49.3</v>
      </c>
      <c r="Q248" s="413"/>
      <c r="R248" s="413"/>
      <c r="S248" s="413"/>
      <c r="T248" s="413"/>
      <c r="U248" s="413"/>
      <c r="V248" s="413"/>
      <c r="W248" s="413"/>
    </row>
    <row r="249" spans="1:23">
      <c r="A249" s="412"/>
      <c r="B249" s="412"/>
      <c r="C249" s="416">
        <v>191</v>
      </c>
      <c r="D249" s="417">
        <f t="shared" si="14"/>
        <v>26.099999999999994</v>
      </c>
      <c r="E249" s="412"/>
      <c r="F249" s="412"/>
      <c r="G249" s="412"/>
      <c r="H249" s="412"/>
      <c r="I249" s="412"/>
      <c r="J249" s="412"/>
      <c r="K249" s="412"/>
      <c r="M249" s="413"/>
      <c r="N249" s="413"/>
      <c r="O249" s="426">
        <v>190</v>
      </c>
      <c r="P249" s="440">
        <v>48.333333333333329</v>
      </c>
      <c r="Q249" s="413"/>
      <c r="R249" s="413"/>
      <c r="S249" s="413"/>
      <c r="T249" s="413"/>
      <c r="U249" s="413"/>
      <c r="V249" s="413"/>
      <c r="W249" s="413"/>
    </row>
    <row r="250" spans="1:23">
      <c r="A250" s="412"/>
      <c r="B250" s="412"/>
      <c r="C250" s="416">
        <v>192</v>
      </c>
      <c r="D250" s="417">
        <f t="shared" si="14"/>
        <v>25.200000000000003</v>
      </c>
      <c r="E250" s="412"/>
      <c r="F250" s="412"/>
      <c r="G250" s="412"/>
      <c r="H250" s="412"/>
      <c r="I250" s="412"/>
      <c r="J250" s="412"/>
      <c r="K250" s="412"/>
      <c r="M250" s="413"/>
      <c r="N250" s="413"/>
      <c r="O250" s="426">
        <v>191</v>
      </c>
      <c r="P250" s="440">
        <v>47.36666666666666</v>
      </c>
      <c r="Q250" s="413"/>
      <c r="R250" s="413"/>
      <c r="S250" s="413"/>
      <c r="T250" s="413"/>
      <c r="U250" s="413"/>
      <c r="V250" s="413"/>
      <c r="W250" s="413"/>
    </row>
    <row r="251" spans="1:23">
      <c r="A251" s="412"/>
      <c r="B251" s="412"/>
      <c r="C251" s="416">
        <v>193</v>
      </c>
      <c r="D251" s="417">
        <f t="shared" si="14"/>
        <v>24.299999999999997</v>
      </c>
      <c r="E251" s="412"/>
      <c r="F251" s="412"/>
      <c r="G251" s="412"/>
      <c r="H251" s="412"/>
      <c r="I251" s="412"/>
      <c r="J251" s="412"/>
      <c r="K251" s="412"/>
      <c r="M251" s="413"/>
      <c r="N251" s="413"/>
      <c r="O251" s="426">
        <v>192</v>
      </c>
      <c r="P251" s="440">
        <v>46.400000000000006</v>
      </c>
      <c r="Q251" s="413"/>
      <c r="R251" s="413"/>
      <c r="S251" s="413"/>
      <c r="T251" s="413"/>
      <c r="U251" s="413"/>
      <c r="V251" s="413"/>
      <c r="W251" s="413"/>
    </row>
    <row r="252" spans="1:23">
      <c r="A252" s="412"/>
      <c r="B252" s="412"/>
      <c r="C252" s="416">
        <v>194</v>
      </c>
      <c r="D252" s="417">
        <f t="shared" si="14"/>
        <v>23.399999999999991</v>
      </c>
      <c r="E252" s="412"/>
      <c r="F252" s="412"/>
      <c r="G252" s="412"/>
      <c r="H252" s="412"/>
      <c r="I252" s="412"/>
      <c r="J252" s="412"/>
      <c r="K252" s="412"/>
      <c r="M252" s="413"/>
      <c r="N252" s="413"/>
      <c r="O252" s="426">
        <v>193</v>
      </c>
      <c r="P252" s="440">
        <v>45.433333333333337</v>
      </c>
      <c r="Q252" s="413"/>
      <c r="R252" s="413"/>
      <c r="S252" s="413"/>
      <c r="T252" s="413"/>
      <c r="U252" s="413"/>
      <c r="V252" s="413"/>
      <c r="W252" s="413"/>
    </row>
    <row r="253" spans="1:23">
      <c r="A253" s="412"/>
      <c r="B253" s="412"/>
      <c r="C253" s="416">
        <v>195</v>
      </c>
      <c r="D253" s="417">
        <f t="shared" si="14"/>
        <v>22.5</v>
      </c>
      <c r="E253" s="412"/>
      <c r="F253" s="412"/>
      <c r="G253" s="412"/>
      <c r="H253" s="412"/>
      <c r="I253" s="412"/>
      <c r="J253" s="412"/>
      <c r="K253" s="412"/>
      <c r="M253" s="413"/>
      <c r="N253" s="413"/>
      <c r="O253" s="426">
        <v>194</v>
      </c>
      <c r="P253" s="440">
        <v>44.466666666666669</v>
      </c>
      <c r="Q253" s="413"/>
      <c r="R253" s="413"/>
      <c r="S253" s="413"/>
      <c r="T253" s="413"/>
      <c r="U253" s="413"/>
      <c r="V253" s="413"/>
      <c r="W253" s="413"/>
    </row>
    <row r="254" spans="1:23">
      <c r="A254" s="412"/>
      <c r="B254" s="412"/>
      <c r="C254" s="416">
        <v>196</v>
      </c>
      <c r="D254" s="417">
        <f t="shared" si="14"/>
        <v>21.599999999999994</v>
      </c>
      <c r="E254" s="412"/>
      <c r="F254" s="412"/>
      <c r="G254" s="412"/>
      <c r="H254" s="412"/>
      <c r="I254" s="412"/>
      <c r="J254" s="412"/>
      <c r="K254" s="412"/>
      <c r="M254" s="413"/>
      <c r="N254" s="413"/>
      <c r="O254" s="426">
        <v>195</v>
      </c>
      <c r="P254" s="440">
        <v>43.5</v>
      </c>
      <c r="Q254" s="413"/>
      <c r="R254" s="413"/>
      <c r="S254" s="413"/>
      <c r="T254" s="413"/>
      <c r="U254" s="413"/>
      <c r="V254" s="413"/>
      <c r="W254" s="413"/>
    </row>
    <row r="255" spans="1:23">
      <c r="A255" s="412"/>
      <c r="B255" s="412"/>
      <c r="C255" s="416">
        <v>197</v>
      </c>
      <c r="D255" s="417">
        <f t="shared" si="14"/>
        <v>20.700000000000003</v>
      </c>
      <c r="E255" s="412"/>
      <c r="F255" s="412"/>
      <c r="G255" s="412"/>
      <c r="H255" s="412"/>
      <c r="I255" s="412"/>
      <c r="J255" s="412"/>
      <c r="K255" s="412"/>
      <c r="M255" s="413"/>
      <c r="N255" s="413"/>
      <c r="O255" s="426">
        <v>196</v>
      </c>
      <c r="P255" s="440">
        <v>42.533333333333331</v>
      </c>
      <c r="Q255" s="413"/>
      <c r="R255" s="413"/>
      <c r="S255" s="413"/>
      <c r="T255" s="413"/>
      <c r="U255" s="413"/>
      <c r="V255" s="413"/>
      <c r="W255" s="413"/>
    </row>
    <row r="256" spans="1:23">
      <c r="A256" s="412"/>
      <c r="B256" s="412"/>
      <c r="C256" s="416">
        <v>198</v>
      </c>
      <c r="D256" s="417">
        <f t="shared" ref="D256:D278" si="15">135+(0+-135)/(220-70)*(C256-70)</f>
        <v>19.799999999999997</v>
      </c>
      <c r="E256" s="412"/>
      <c r="F256" s="412"/>
      <c r="G256" s="412"/>
      <c r="H256" s="412"/>
      <c r="I256" s="412"/>
      <c r="J256" s="412"/>
      <c r="K256" s="412"/>
      <c r="M256" s="413"/>
      <c r="N256" s="413"/>
      <c r="O256" s="426">
        <v>197</v>
      </c>
      <c r="P256" s="440">
        <v>41.566666666666663</v>
      </c>
      <c r="Q256" s="413"/>
      <c r="R256" s="413"/>
      <c r="S256" s="413"/>
      <c r="T256" s="413"/>
      <c r="U256" s="413"/>
      <c r="V256" s="413"/>
      <c r="W256" s="413"/>
    </row>
    <row r="257" spans="1:23">
      <c r="A257" s="412"/>
      <c r="B257" s="412"/>
      <c r="C257" s="416">
        <v>199</v>
      </c>
      <c r="D257" s="417">
        <f t="shared" si="15"/>
        <v>18.899999999999991</v>
      </c>
      <c r="E257" s="412"/>
      <c r="F257" s="412"/>
      <c r="G257" s="412"/>
      <c r="H257" s="412"/>
      <c r="I257" s="412"/>
      <c r="J257" s="412"/>
      <c r="K257" s="412"/>
      <c r="M257" s="413"/>
      <c r="N257" s="413"/>
      <c r="O257" s="426">
        <v>198</v>
      </c>
      <c r="P257" s="440">
        <v>40.599999999999994</v>
      </c>
      <c r="Q257" s="413"/>
      <c r="R257" s="413"/>
      <c r="S257" s="413"/>
      <c r="T257" s="413"/>
      <c r="U257" s="413"/>
      <c r="V257" s="413"/>
      <c r="W257" s="413"/>
    </row>
    <row r="258" spans="1:23">
      <c r="A258" s="412"/>
      <c r="B258" s="412"/>
      <c r="C258" s="416">
        <v>200</v>
      </c>
      <c r="D258" s="417">
        <f t="shared" si="15"/>
        <v>18</v>
      </c>
      <c r="E258" s="412"/>
      <c r="F258" s="412"/>
      <c r="G258" s="412"/>
      <c r="H258" s="412"/>
      <c r="I258" s="412"/>
      <c r="J258" s="412"/>
      <c r="K258" s="412"/>
      <c r="M258" s="413"/>
      <c r="N258" s="413"/>
      <c r="O258" s="426">
        <v>199</v>
      </c>
      <c r="P258" s="440">
        <v>39.633333333333326</v>
      </c>
      <c r="Q258" s="413"/>
      <c r="R258" s="413"/>
      <c r="S258" s="413"/>
      <c r="T258" s="413"/>
      <c r="U258" s="413"/>
      <c r="V258" s="413"/>
      <c r="W258" s="413"/>
    </row>
    <row r="259" spans="1:23">
      <c r="A259" s="412"/>
      <c r="B259" s="412"/>
      <c r="C259" s="416">
        <v>201</v>
      </c>
      <c r="D259" s="417">
        <f t="shared" si="15"/>
        <v>17.099999999999994</v>
      </c>
      <c r="E259" s="412"/>
      <c r="F259" s="412"/>
      <c r="G259" s="412"/>
      <c r="H259" s="412"/>
      <c r="I259" s="412"/>
      <c r="J259" s="412"/>
      <c r="K259" s="412"/>
      <c r="M259" s="413"/>
      <c r="N259" s="413"/>
      <c r="O259" s="426">
        <v>200</v>
      </c>
      <c r="P259" s="440">
        <v>38.666666666666671</v>
      </c>
      <c r="Q259" s="413"/>
      <c r="R259" s="413"/>
      <c r="S259" s="413"/>
      <c r="T259" s="413"/>
      <c r="U259" s="413"/>
      <c r="V259" s="413"/>
      <c r="W259" s="413"/>
    </row>
    <row r="260" spans="1:23">
      <c r="A260" s="412"/>
      <c r="B260" s="412"/>
      <c r="C260" s="416">
        <v>202</v>
      </c>
      <c r="D260" s="417">
        <f t="shared" si="15"/>
        <v>16.200000000000003</v>
      </c>
      <c r="E260" s="412"/>
      <c r="F260" s="412"/>
      <c r="G260" s="412"/>
      <c r="H260" s="412"/>
      <c r="I260" s="412"/>
      <c r="J260" s="412"/>
      <c r="K260" s="412"/>
      <c r="M260" s="413"/>
      <c r="N260" s="413"/>
      <c r="O260" s="426">
        <v>201</v>
      </c>
      <c r="P260" s="440">
        <v>37.700000000000003</v>
      </c>
      <c r="Q260" s="413"/>
      <c r="R260" s="413"/>
      <c r="S260" s="413"/>
      <c r="T260" s="413"/>
      <c r="U260" s="413"/>
      <c r="V260" s="413"/>
      <c r="W260" s="413"/>
    </row>
    <row r="261" spans="1:23">
      <c r="A261" s="412"/>
      <c r="B261" s="412"/>
      <c r="C261" s="416">
        <v>203</v>
      </c>
      <c r="D261" s="417">
        <f t="shared" si="15"/>
        <v>15.299999999999997</v>
      </c>
      <c r="E261" s="412"/>
      <c r="F261" s="412"/>
      <c r="G261" s="412"/>
      <c r="H261" s="412"/>
      <c r="I261" s="412"/>
      <c r="J261" s="412"/>
      <c r="K261" s="412"/>
      <c r="M261" s="413"/>
      <c r="N261" s="413"/>
      <c r="O261" s="426">
        <v>202</v>
      </c>
      <c r="P261" s="440">
        <v>36.733333333333334</v>
      </c>
      <c r="Q261" s="413"/>
      <c r="R261" s="413"/>
      <c r="S261" s="413"/>
      <c r="T261" s="413"/>
      <c r="U261" s="413"/>
      <c r="V261" s="413"/>
      <c r="W261" s="413"/>
    </row>
    <row r="262" spans="1:23">
      <c r="A262" s="412"/>
      <c r="B262" s="412"/>
      <c r="C262" s="416">
        <v>204</v>
      </c>
      <c r="D262" s="417">
        <f t="shared" si="15"/>
        <v>14.399999999999991</v>
      </c>
      <c r="E262" s="412"/>
      <c r="F262" s="412"/>
      <c r="G262" s="412"/>
      <c r="H262" s="412"/>
      <c r="I262" s="412"/>
      <c r="J262" s="412"/>
      <c r="K262" s="412"/>
      <c r="M262" s="413"/>
      <c r="N262" s="413"/>
      <c r="O262" s="426">
        <v>203</v>
      </c>
      <c r="P262" s="440">
        <v>35.766666666666666</v>
      </c>
      <c r="Q262" s="413"/>
      <c r="R262" s="413"/>
      <c r="S262" s="413"/>
      <c r="T262" s="413"/>
      <c r="U262" s="413"/>
      <c r="V262" s="413"/>
      <c r="W262" s="413"/>
    </row>
    <row r="263" spans="1:23">
      <c r="A263" s="412"/>
      <c r="B263" s="412"/>
      <c r="C263" s="416">
        <v>205</v>
      </c>
      <c r="D263" s="417">
        <f t="shared" si="15"/>
        <v>13.5</v>
      </c>
      <c r="E263" s="412"/>
      <c r="F263" s="412"/>
      <c r="G263" s="412"/>
      <c r="H263" s="412"/>
      <c r="I263" s="412"/>
      <c r="J263" s="412"/>
      <c r="K263" s="412"/>
      <c r="M263" s="413"/>
      <c r="N263" s="413"/>
      <c r="O263" s="426">
        <v>204</v>
      </c>
      <c r="P263" s="440">
        <v>34.799999999999997</v>
      </c>
      <c r="Q263" s="413"/>
      <c r="R263" s="413"/>
      <c r="S263" s="413"/>
      <c r="T263" s="413"/>
      <c r="U263" s="413"/>
      <c r="V263" s="413"/>
      <c r="W263" s="413"/>
    </row>
    <row r="264" spans="1:23">
      <c r="A264" s="412"/>
      <c r="B264" s="412"/>
      <c r="C264" s="416">
        <v>206</v>
      </c>
      <c r="D264" s="417">
        <f t="shared" si="15"/>
        <v>12.599999999999994</v>
      </c>
      <c r="E264" s="412"/>
      <c r="F264" s="412"/>
      <c r="G264" s="412"/>
      <c r="H264" s="412"/>
      <c r="I264" s="412"/>
      <c r="J264" s="412"/>
      <c r="K264" s="412"/>
      <c r="M264" s="413"/>
      <c r="N264" s="413"/>
      <c r="O264" s="426">
        <v>205</v>
      </c>
      <c r="P264" s="440">
        <v>33.833333333333329</v>
      </c>
      <c r="Q264" s="413"/>
      <c r="R264" s="413"/>
      <c r="S264" s="413"/>
      <c r="T264" s="413"/>
      <c r="U264" s="413"/>
      <c r="V264" s="413"/>
      <c r="W264" s="413"/>
    </row>
    <row r="265" spans="1:23">
      <c r="A265" s="412"/>
      <c r="B265" s="412"/>
      <c r="C265" s="416">
        <v>207</v>
      </c>
      <c r="D265" s="417">
        <f t="shared" si="15"/>
        <v>11.700000000000003</v>
      </c>
      <c r="E265" s="412"/>
      <c r="F265" s="412"/>
      <c r="G265" s="412"/>
      <c r="H265" s="412"/>
      <c r="I265" s="412"/>
      <c r="J265" s="412"/>
      <c r="K265" s="412"/>
      <c r="M265" s="413"/>
      <c r="N265" s="413"/>
      <c r="O265" s="426">
        <v>206</v>
      </c>
      <c r="P265" s="440">
        <v>32.86666666666666</v>
      </c>
      <c r="Q265" s="413"/>
      <c r="R265" s="413"/>
      <c r="S265" s="413"/>
      <c r="T265" s="413"/>
      <c r="U265" s="413"/>
      <c r="V265" s="413"/>
      <c r="W265" s="413"/>
    </row>
    <row r="266" spans="1:23">
      <c r="A266" s="412"/>
      <c r="B266" s="412"/>
      <c r="C266" s="416">
        <v>208</v>
      </c>
      <c r="D266" s="417">
        <f t="shared" si="15"/>
        <v>10.799999999999997</v>
      </c>
      <c r="E266" s="412"/>
      <c r="F266" s="412"/>
      <c r="G266" s="412"/>
      <c r="H266" s="412"/>
      <c r="I266" s="412"/>
      <c r="J266" s="412"/>
      <c r="K266" s="412"/>
      <c r="M266" s="413"/>
      <c r="N266" s="413"/>
      <c r="O266" s="426">
        <v>207</v>
      </c>
      <c r="P266" s="440">
        <v>31.900000000000006</v>
      </c>
      <c r="Q266" s="413"/>
      <c r="R266" s="413"/>
      <c r="S266" s="413"/>
      <c r="T266" s="413"/>
      <c r="U266" s="413"/>
      <c r="V266" s="413"/>
      <c r="W266" s="413"/>
    </row>
    <row r="267" spans="1:23">
      <c r="A267" s="412"/>
      <c r="B267" s="412"/>
      <c r="C267" s="416">
        <v>209</v>
      </c>
      <c r="D267" s="417">
        <f t="shared" si="15"/>
        <v>9.8999999999999915</v>
      </c>
      <c r="E267" s="412"/>
      <c r="F267" s="412"/>
      <c r="G267" s="412"/>
      <c r="H267" s="412"/>
      <c r="I267" s="412"/>
      <c r="J267" s="412"/>
      <c r="K267" s="412"/>
      <c r="M267" s="413"/>
      <c r="N267" s="413"/>
      <c r="O267" s="426">
        <v>208</v>
      </c>
      <c r="P267" s="440">
        <v>30.933333333333337</v>
      </c>
      <c r="Q267" s="413"/>
      <c r="R267" s="413"/>
      <c r="S267" s="413"/>
      <c r="T267" s="413"/>
      <c r="U267" s="413"/>
      <c r="V267" s="413"/>
      <c r="W267" s="413"/>
    </row>
    <row r="268" spans="1:23">
      <c r="A268" s="412"/>
      <c r="B268" s="412"/>
      <c r="C268" s="416">
        <v>210</v>
      </c>
      <c r="D268" s="417">
        <f t="shared" si="15"/>
        <v>9</v>
      </c>
      <c r="E268" s="412"/>
      <c r="F268" s="412"/>
      <c r="G268" s="412"/>
      <c r="H268" s="412"/>
      <c r="I268" s="412"/>
      <c r="J268" s="412"/>
      <c r="K268" s="412"/>
      <c r="M268" s="413"/>
      <c r="N268" s="413"/>
      <c r="O268" s="426">
        <v>209</v>
      </c>
      <c r="P268" s="440">
        <v>29.966666666666669</v>
      </c>
      <c r="Q268" s="413"/>
      <c r="R268" s="413"/>
      <c r="S268" s="413"/>
      <c r="T268" s="413"/>
      <c r="U268" s="413"/>
      <c r="V268" s="413"/>
      <c r="W268" s="413"/>
    </row>
    <row r="269" spans="1:23">
      <c r="A269" s="412"/>
      <c r="B269" s="412"/>
      <c r="C269" s="416">
        <v>211</v>
      </c>
      <c r="D269" s="417">
        <f t="shared" si="15"/>
        <v>8.0999999999999943</v>
      </c>
      <c r="E269" s="412"/>
      <c r="F269" s="412"/>
      <c r="G269" s="412"/>
      <c r="H269" s="412"/>
      <c r="I269" s="412"/>
      <c r="J269" s="412"/>
      <c r="K269" s="412"/>
      <c r="M269" s="413"/>
      <c r="N269" s="413"/>
      <c r="O269" s="426">
        <v>210</v>
      </c>
      <c r="P269" s="440">
        <v>29</v>
      </c>
      <c r="Q269" s="413"/>
      <c r="R269" s="413"/>
      <c r="S269" s="413"/>
      <c r="T269" s="413"/>
      <c r="U269" s="413"/>
      <c r="V269" s="413"/>
      <c r="W269" s="413"/>
    </row>
    <row r="270" spans="1:23">
      <c r="A270" s="412"/>
      <c r="B270" s="412"/>
      <c r="C270" s="416">
        <v>212</v>
      </c>
      <c r="D270" s="417">
        <f t="shared" si="15"/>
        <v>7.2000000000000028</v>
      </c>
      <c r="E270" s="412"/>
      <c r="F270" s="412"/>
      <c r="G270" s="412"/>
      <c r="H270" s="412"/>
      <c r="I270" s="412"/>
      <c r="J270" s="412"/>
      <c r="K270" s="412"/>
      <c r="M270" s="413"/>
      <c r="N270" s="413"/>
      <c r="O270" s="426">
        <v>211</v>
      </c>
      <c r="P270" s="440">
        <v>28.033333333333331</v>
      </c>
      <c r="Q270" s="413"/>
      <c r="R270" s="413"/>
      <c r="S270" s="413"/>
      <c r="T270" s="413"/>
      <c r="U270" s="413"/>
      <c r="V270" s="413"/>
      <c r="W270" s="413"/>
    </row>
    <row r="271" spans="1:23">
      <c r="A271" s="412"/>
      <c r="B271" s="412"/>
      <c r="C271" s="416">
        <v>213</v>
      </c>
      <c r="D271" s="417">
        <f t="shared" si="15"/>
        <v>6.2999999999999829</v>
      </c>
      <c r="E271" s="412"/>
      <c r="F271" s="412"/>
      <c r="G271" s="412"/>
      <c r="H271" s="412"/>
      <c r="I271" s="412"/>
      <c r="J271" s="412"/>
      <c r="K271" s="412"/>
      <c r="M271" s="413"/>
      <c r="N271" s="413"/>
      <c r="O271" s="426">
        <v>212</v>
      </c>
      <c r="P271" s="440">
        <v>27.066666666666663</v>
      </c>
      <c r="Q271" s="413"/>
      <c r="R271" s="413"/>
      <c r="S271" s="413"/>
      <c r="T271" s="413"/>
      <c r="U271" s="413"/>
      <c r="V271" s="413"/>
      <c r="W271" s="413"/>
    </row>
    <row r="272" spans="1:23">
      <c r="A272" s="412"/>
      <c r="B272" s="412"/>
      <c r="C272" s="416">
        <v>214</v>
      </c>
      <c r="D272" s="417">
        <f t="shared" si="15"/>
        <v>5.4000000000000057</v>
      </c>
      <c r="E272" s="412"/>
      <c r="F272" s="412"/>
      <c r="G272" s="412"/>
      <c r="H272" s="412"/>
      <c r="I272" s="412"/>
      <c r="J272" s="412"/>
      <c r="K272" s="412"/>
      <c r="M272" s="413"/>
      <c r="N272" s="413"/>
      <c r="O272" s="426">
        <v>213</v>
      </c>
      <c r="P272" s="440">
        <v>26.099999999999994</v>
      </c>
      <c r="Q272" s="413"/>
      <c r="R272" s="413"/>
      <c r="S272" s="413"/>
      <c r="T272" s="413"/>
      <c r="U272" s="413"/>
      <c r="V272" s="413"/>
      <c r="W272" s="413"/>
    </row>
    <row r="273" spans="1:23">
      <c r="A273" s="412"/>
      <c r="B273" s="412"/>
      <c r="C273" s="416">
        <v>215</v>
      </c>
      <c r="D273" s="417">
        <f t="shared" si="15"/>
        <v>4.5</v>
      </c>
      <c r="E273" s="412"/>
      <c r="F273" s="412"/>
      <c r="G273" s="412"/>
      <c r="H273" s="412"/>
      <c r="I273" s="412"/>
      <c r="J273" s="412"/>
      <c r="K273" s="412"/>
      <c r="M273" s="413"/>
      <c r="N273" s="413"/>
      <c r="O273" s="426">
        <v>214</v>
      </c>
      <c r="P273" s="440">
        <v>25.133333333333326</v>
      </c>
      <c r="Q273" s="413"/>
      <c r="R273" s="413"/>
      <c r="S273" s="413"/>
      <c r="T273" s="413"/>
      <c r="U273" s="413"/>
      <c r="V273" s="413"/>
      <c r="W273" s="413"/>
    </row>
    <row r="274" spans="1:23">
      <c r="A274" s="412"/>
      <c r="B274" s="412"/>
      <c r="C274" s="416">
        <v>216</v>
      </c>
      <c r="D274" s="417">
        <f t="shared" si="15"/>
        <v>3.5999999999999943</v>
      </c>
      <c r="E274" s="412"/>
      <c r="F274" s="412"/>
      <c r="G274" s="412"/>
      <c r="H274" s="412"/>
      <c r="I274" s="412"/>
      <c r="J274" s="412"/>
      <c r="K274" s="412"/>
      <c r="M274" s="413"/>
      <c r="N274" s="413"/>
      <c r="O274" s="426">
        <v>215</v>
      </c>
      <c r="P274" s="440">
        <v>24.166666666666671</v>
      </c>
      <c r="Q274" s="413"/>
      <c r="R274" s="413"/>
      <c r="S274" s="413"/>
      <c r="T274" s="413"/>
      <c r="U274" s="413"/>
      <c r="V274" s="413"/>
      <c r="W274" s="413"/>
    </row>
    <row r="275" spans="1:23">
      <c r="A275" s="412"/>
      <c r="B275" s="412"/>
      <c r="C275" s="416">
        <v>217</v>
      </c>
      <c r="D275" s="417">
        <f t="shared" si="15"/>
        <v>2.6999999999999886</v>
      </c>
      <c r="E275" s="412"/>
      <c r="F275" s="412"/>
      <c r="G275" s="412"/>
      <c r="H275" s="412"/>
      <c r="I275" s="412"/>
      <c r="J275" s="412"/>
      <c r="K275" s="412"/>
      <c r="M275" s="413"/>
      <c r="N275" s="413"/>
      <c r="O275" s="426">
        <v>216</v>
      </c>
      <c r="P275" s="440">
        <v>23.200000000000003</v>
      </c>
      <c r="Q275" s="413"/>
      <c r="R275" s="413"/>
      <c r="S275" s="413"/>
      <c r="T275" s="413"/>
      <c r="U275" s="413"/>
      <c r="V275" s="413"/>
      <c r="W275" s="413"/>
    </row>
    <row r="276" spans="1:23">
      <c r="A276" s="412"/>
      <c r="B276" s="412"/>
      <c r="C276" s="416">
        <v>218</v>
      </c>
      <c r="D276" s="417">
        <f t="shared" si="15"/>
        <v>1.7999999999999829</v>
      </c>
      <c r="E276" s="412"/>
      <c r="F276" s="412"/>
      <c r="G276" s="412"/>
      <c r="H276" s="412"/>
      <c r="I276" s="412"/>
      <c r="J276" s="412"/>
      <c r="K276" s="412"/>
      <c r="M276" s="413"/>
      <c r="N276" s="413"/>
      <c r="O276" s="426">
        <v>217</v>
      </c>
      <c r="P276" s="440">
        <v>22.233333333333334</v>
      </c>
      <c r="Q276" s="413"/>
      <c r="R276" s="413"/>
      <c r="S276" s="413"/>
      <c r="T276" s="413"/>
      <c r="U276" s="413"/>
      <c r="V276" s="413"/>
      <c r="W276" s="413"/>
    </row>
    <row r="277" spans="1:23">
      <c r="A277" s="412"/>
      <c r="B277" s="412"/>
      <c r="C277" s="416">
        <v>219</v>
      </c>
      <c r="D277" s="417">
        <f t="shared" si="15"/>
        <v>0.90000000000000568</v>
      </c>
      <c r="E277" s="412"/>
      <c r="F277" s="412"/>
      <c r="G277" s="412"/>
      <c r="H277" s="412"/>
      <c r="I277" s="412"/>
      <c r="J277" s="412"/>
      <c r="K277" s="412"/>
      <c r="M277" s="413"/>
      <c r="N277" s="413"/>
      <c r="O277" s="426">
        <v>218</v>
      </c>
      <c r="P277" s="440">
        <v>21.266666666666666</v>
      </c>
      <c r="Q277" s="413"/>
      <c r="R277" s="413"/>
      <c r="S277" s="413"/>
      <c r="T277" s="413"/>
      <c r="U277" s="413"/>
      <c r="V277" s="413"/>
      <c r="W277" s="413"/>
    </row>
    <row r="278" spans="1:23">
      <c r="A278" s="412"/>
      <c r="B278" s="412"/>
      <c r="C278" s="469">
        <v>220</v>
      </c>
      <c r="D278" s="476">
        <f t="shared" si="15"/>
        <v>0</v>
      </c>
      <c r="E278" s="412" t="s">
        <v>210</v>
      </c>
      <c r="F278" s="412"/>
      <c r="G278" s="412"/>
      <c r="H278" s="412"/>
      <c r="I278" s="412"/>
      <c r="J278" s="412"/>
      <c r="K278" s="412"/>
      <c r="M278" s="413"/>
      <c r="N278" s="413"/>
      <c r="O278" s="426">
        <v>219</v>
      </c>
      <c r="P278" s="440">
        <v>20.299999999999997</v>
      </c>
      <c r="Q278" s="413"/>
      <c r="R278" s="413"/>
      <c r="S278" s="413"/>
      <c r="T278" s="413"/>
      <c r="U278" s="413"/>
      <c r="V278" s="413"/>
      <c r="W278" s="413"/>
    </row>
    <row r="279" spans="1:23">
      <c r="A279" s="412"/>
      <c r="B279" s="412"/>
      <c r="C279" s="412"/>
      <c r="D279" s="412"/>
      <c r="E279" s="412"/>
      <c r="F279" s="412"/>
      <c r="G279" s="412"/>
      <c r="H279" s="412"/>
      <c r="I279" s="412"/>
      <c r="J279" s="412"/>
      <c r="K279" s="412"/>
      <c r="M279" s="413"/>
      <c r="N279" s="413"/>
      <c r="O279" s="426">
        <v>220</v>
      </c>
      <c r="P279" s="440">
        <v>19.333333333333329</v>
      </c>
      <c r="Q279" s="413"/>
      <c r="R279" s="413"/>
      <c r="S279" s="413"/>
      <c r="T279" s="413"/>
      <c r="U279" s="413"/>
      <c r="V279" s="413"/>
      <c r="W279" s="413"/>
    </row>
    <row r="280" spans="1:23">
      <c r="M280" s="413"/>
      <c r="N280" s="413"/>
      <c r="O280" s="426">
        <v>221</v>
      </c>
      <c r="P280" s="440">
        <v>18.36666666666666</v>
      </c>
      <c r="Q280" s="413"/>
      <c r="R280" s="413"/>
      <c r="S280" s="413"/>
      <c r="T280" s="413"/>
      <c r="U280" s="413"/>
      <c r="V280" s="413"/>
      <c r="W280" s="413"/>
    </row>
    <row r="281" spans="1:23">
      <c r="M281" s="413"/>
      <c r="N281" s="413"/>
      <c r="O281" s="426">
        <v>222</v>
      </c>
      <c r="P281" s="440">
        <v>17.400000000000006</v>
      </c>
      <c r="Q281" s="413"/>
      <c r="R281" s="413"/>
      <c r="S281" s="413"/>
      <c r="T281" s="413"/>
      <c r="U281" s="413"/>
      <c r="V281" s="413"/>
      <c r="W281" s="413"/>
    </row>
    <row r="282" spans="1:23">
      <c r="M282" s="413"/>
      <c r="N282" s="413"/>
      <c r="O282" s="426">
        <v>223</v>
      </c>
      <c r="P282" s="440">
        <v>16.433333333333337</v>
      </c>
      <c r="Q282" s="413"/>
      <c r="R282" s="413"/>
      <c r="S282" s="413"/>
      <c r="T282" s="413"/>
      <c r="U282" s="413"/>
      <c r="V282" s="413"/>
      <c r="W282" s="413"/>
    </row>
    <row r="283" spans="1:23">
      <c r="M283" s="413"/>
      <c r="N283" s="413"/>
      <c r="O283" s="426">
        <v>224</v>
      </c>
      <c r="P283" s="440">
        <v>15.466666666666669</v>
      </c>
      <c r="Q283" s="413"/>
      <c r="R283" s="413"/>
      <c r="S283" s="413"/>
      <c r="T283" s="413"/>
      <c r="U283" s="413"/>
      <c r="V283" s="413"/>
      <c r="W283" s="413"/>
    </row>
    <row r="284" spans="1:23">
      <c r="M284" s="413"/>
      <c r="N284" s="413"/>
      <c r="O284" s="426">
        <v>225</v>
      </c>
      <c r="P284" s="440">
        <v>14.5</v>
      </c>
      <c r="Q284" s="413"/>
      <c r="R284" s="413"/>
      <c r="S284" s="413"/>
      <c r="T284" s="413"/>
      <c r="U284" s="413"/>
      <c r="V284" s="413"/>
      <c r="W284" s="413"/>
    </row>
    <row r="285" spans="1:23">
      <c r="M285" s="413"/>
      <c r="N285" s="413"/>
      <c r="O285" s="426">
        <v>226</v>
      </c>
      <c r="P285" s="440">
        <v>13.533333333333331</v>
      </c>
      <c r="Q285" s="413"/>
      <c r="R285" s="413"/>
      <c r="S285" s="413"/>
      <c r="T285" s="413"/>
      <c r="U285" s="413"/>
      <c r="V285" s="413"/>
      <c r="W285" s="413"/>
    </row>
    <row r="286" spans="1:23">
      <c r="M286" s="413"/>
      <c r="N286" s="413"/>
      <c r="O286" s="426">
        <v>227</v>
      </c>
      <c r="P286" s="440">
        <v>12.566666666666663</v>
      </c>
      <c r="Q286" s="413"/>
      <c r="R286" s="413"/>
      <c r="S286" s="413"/>
      <c r="T286" s="413"/>
      <c r="U286" s="413"/>
      <c r="V286" s="413"/>
      <c r="W286" s="413"/>
    </row>
    <row r="287" spans="1:23">
      <c r="M287" s="413"/>
      <c r="N287" s="413"/>
      <c r="O287" s="426">
        <v>228</v>
      </c>
      <c r="P287" s="440">
        <v>11.599999999999994</v>
      </c>
      <c r="Q287" s="413"/>
      <c r="R287" s="413"/>
      <c r="S287" s="413"/>
      <c r="T287" s="413"/>
      <c r="U287" s="413"/>
      <c r="V287" s="413"/>
      <c r="W287" s="413"/>
    </row>
    <row r="288" spans="1:23">
      <c r="M288" s="413"/>
      <c r="N288" s="413"/>
      <c r="O288" s="426">
        <v>229</v>
      </c>
      <c r="P288" s="440">
        <v>10.633333333333326</v>
      </c>
      <c r="Q288" s="413"/>
      <c r="R288" s="413"/>
      <c r="S288" s="413"/>
      <c r="T288" s="413"/>
      <c r="U288" s="413"/>
      <c r="V288" s="413"/>
      <c r="W288" s="413"/>
    </row>
    <row r="289" spans="13:23">
      <c r="M289" s="413"/>
      <c r="N289" s="413"/>
      <c r="O289" s="426">
        <v>230</v>
      </c>
      <c r="P289" s="440">
        <v>9.6666666666666572</v>
      </c>
      <c r="Q289" s="413"/>
      <c r="R289" s="413"/>
      <c r="S289" s="413"/>
      <c r="T289" s="413"/>
      <c r="U289" s="413"/>
      <c r="V289" s="413"/>
      <c r="W289" s="413"/>
    </row>
    <row r="290" spans="13:23">
      <c r="M290" s="413"/>
      <c r="N290" s="413"/>
      <c r="O290" s="426">
        <v>231</v>
      </c>
      <c r="P290" s="440">
        <v>8.6999999999999886</v>
      </c>
      <c r="Q290" s="413"/>
      <c r="R290" s="413"/>
      <c r="S290" s="413"/>
      <c r="T290" s="413"/>
      <c r="U290" s="413"/>
      <c r="V290" s="413"/>
      <c r="W290" s="413"/>
    </row>
    <row r="291" spans="13:23">
      <c r="M291" s="413"/>
      <c r="N291" s="413"/>
      <c r="O291" s="426">
        <v>232</v>
      </c>
      <c r="P291" s="440">
        <v>7.7333333333333201</v>
      </c>
      <c r="Q291" s="413"/>
      <c r="R291" s="413"/>
      <c r="S291" s="413"/>
      <c r="T291" s="413"/>
      <c r="U291" s="413"/>
      <c r="V291" s="413"/>
      <c r="W291" s="413"/>
    </row>
    <row r="292" spans="13:23">
      <c r="M292" s="413"/>
      <c r="N292" s="413"/>
      <c r="O292" s="426">
        <v>233</v>
      </c>
      <c r="P292" s="440">
        <v>6.7666666666666515</v>
      </c>
      <c r="Q292" s="413"/>
      <c r="R292" s="413"/>
      <c r="S292" s="413"/>
      <c r="T292" s="413"/>
      <c r="U292" s="413"/>
      <c r="V292" s="413"/>
      <c r="W292" s="413"/>
    </row>
    <row r="293" spans="13:23">
      <c r="M293" s="413"/>
      <c r="N293" s="413"/>
      <c r="O293" s="426">
        <v>234</v>
      </c>
      <c r="P293" s="440">
        <v>5.8000000000000114</v>
      </c>
      <c r="Q293" s="413"/>
      <c r="R293" s="413"/>
      <c r="S293" s="413"/>
      <c r="T293" s="413"/>
      <c r="U293" s="413"/>
      <c r="V293" s="413"/>
      <c r="W293" s="413"/>
    </row>
    <row r="294" spans="13:23">
      <c r="M294" s="413"/>
      <c r="N294" s="413"/>
      <c r="O294" s="426">
        <v>235</v>
      </c>
      <c r="P294" s="440">
        <v>4.8333333333333428</v>
      </c>
      <c r="Q294" s="413"/>
      <c r="R294" s="413"/>
      <c r="S294" s="413"/>
      <c r="T294" s="413"/>
      <c r="U294" s="413"/>
      <c r="V294" s="413"/>
      <c r="W294" s="413"/>
    </row>
    <row r="295" spans="13:23">
      <c r="M295" s="413"/>
      <c r="N295" s="413"/>
      <c r="O295" s="426">
        <v>236</v>
      </c>
      <c r="P295" s="440">
        <v>3.8666666666666742</v>
      </c>
      <c r="Q295" s="413"/>
      <c r="R295" s="413"/>
      <c r="S295" s="413"/>
      <c r="T295" s="413"/>
      <c r="U295" s="413"/>
      <c r="V295" s="413"/>
      <c r="W295" s="413"/>
    </row>
    <row r="296" spans="13:23">
      <c r="M296" s="413"/>
      <c r="N296" s="413"/>
      <c r="O296" s="426">
        <v>237</v>
      </c>
      <c r="P296" s="440">
        <v>2.9000000000000057</v>
      </c>
      <c r="Q296" s="413"/>
      <c r="R296" s="413"/>
      <c r="S296" s="413"/>
      <c r="T296" s="413"/>
      <c r="U296" s="413"/>
      <c r="V296" s="413"/>
      <c r="W296" s="413"/>
    </row>
    <row r="297" spans="13:23">
      <c r="M297" s="413"/>
      <c r="N297" s="413"/>
      <c r="O297" s="426">
        <v>238</v>
      </c>
      <c r="P297" s="440">
        <v>1.9333333333333371</v>
      </c>
      <c r="Q297" s="413"/>
      <c r="R297" s="413"/>
      <c r="S297" s="413"/>
      <c r="T297" s="413"/>
      <c r="U297" s="413"/>
      <c r="V297" s="413"/>
      <c r="W297" s="413"/>
    </row>
    <row r="298" spans="13:23">
      <c r="M298" s="413"/>
      <c r="N298" s="413"/>
      <c r="O298" s="426">
        <v>239</v>
      </c>
      <c r="P298" s="440">
        <v>0.96666666666666856</v>
      </c>
      <c r="Q298" s="413"/>
      <c r="R298" s="413"/>
      <c r="S298" s="413"/>
      <c r="T298" s="413"/>
      <c r="U298" s="413"/>
      <c r="V298" s="413"/>
      <c r="W298" s="413"/>
    </row>
    <row r="299" spans="13:23">
      <c r="M299" s="413"/>
      <c r="N299" s="413"/>
      <c r="O299" s="457">
        <v>240</v>
      </c>
      <c r="P299" s="473">
        <v>0</v>
      </c>
      <c r="Q299" s="413"/>
      <c r="R299" s="413"/>
      <c r="S299" s="413"/>
      <c r="T299" s="413"/>
      <c r="U299" s="413"/>
      <c r="V299" s="413"/>
      <c r="W299" s="413"/>
    </row>
    <row r="300" spans="13:23">
      <c r="M300" s="413"/>
      <c r="N300" s="413"/>
      <c r="O300" s="413"/>
      <c r="P300" s="413"/>
      <c r="Q300" s="413"/>
      <c r="R300" s="413"/>
      <c r="S300" s="413"/>
      <c r="T300" s="413"/>
      <c r="U300" s="413"/>
      <c r="V300" s="413"/>
      <c r="W300" s="413"/>
    </row>
  </sheetData>
  <mergeCells count="10">
    <mergeCell ref="O57:P57"/>
    <mergeCell ref="Q57:R57"/>
    <mergeCell ref="S57:T57"/>
    <mergeCell ref="U57:V57"/>
    <mergeCell ref="M4:W5"/>
    <mergeCell ref="I56:J56"/>
    <mergeCell ref="G56:H56"/>
    <mergeCell ref="E56:F56"/>
    <mergeCell ref="C56:D56"/>
    <mergeCell ref="A4:K5"/>
  </mergeCells>
  <pageMargins left="0.7" right="0.7" top="0.78740157500000008" bottom="0.78740157500000008" header="0.3" footer="0.3"/>
  <pageSetup paperSize="9" scale="20" fitToHeight="0" orientation="portrait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D15"/>
  <sheetViews>
    <sheetView showGridLines="0" workbookViewId="0">
      <selection activeCell="A12" sqref="A12"/>
    </sheetView>
  </sheetViews>
  <sheetFormatPr baseColWidth="10" defaultColWidth="11.42578125" defaultRowHeight="14.25"/>
  <cols>
    <col min="1" max="1" width="41" style="477" customWidth="1"/>
    <col min="2" max="3" width="11.42578125" style="477"/>
    <col min="4" max="4" width="30.7109375" style="478" customWidth="1"/>
    <col min="5" max="5" width="11.42578125" style="477" customWidth="1"/>
    <col min="6" max="16384" width="11.42578125" style="477"/>
  </cols>
  <sheetData>
    <row r="1" spans="1:4" ht="24.95" customHeight="1">
      <c r="A1" s="845" t="s">
        <v>211</v>
      </c>
      <c r="B1" s="845"/>
      <c r="C1" s="845"/>
      <c r="D1" s="479"/>
    </row>
    <row r="2" spans="1:4" ht="7.5" customHeight="1">
      <c r="A2" s="182"/>
      <c r="B2" s="480"/>
      <c r="C2" s="183"/>
      <c r="D2" s="180"/>
    </row>
    <row r="3" spans="1:4" ht="24.95" customHeight="1">
      <c r="A3" s="987" t="s">
        <v>212</v>
      </c>
      <c r="B3" s="988"/>
      <c r="C3" s="989"/>
      <c r="D3" s="481" t="s">
        <v>24</v>
      </c>
    </row>
    <row r="4" spans="1:4" s="482" customFormat="1" ht="24.95" customHeight="1">
      <c r="A4" s="483" t="s">
        <v>213</v>
      </c>
      <c r="B4" s="484"/>
      <c r="C4" s="485" t="s">
        <v>144</v>
      </c>
      <c r="D4" s="481"/>
    </row>
    <row r="5" spans="1:4" s="482" customFormat="1" ht="58.5" customHeight="1">
      <c r="A5" s="483" t="s">
        <v>214</v>
      </c>
      <c r="B5" s="484"/>
      <c r="C5" s="485" t="s">
        <v>156</v>
      </c>
      <c r="D5" s="481"/>
    </row>
    <row r="6" spans="1:4" s="479" customFormat="1" ht="42" customHeight="1">
      <c r="A6" s="486" t="s">
        <v>215</v>
      </c>
      <c r="B6" s="993"/>
      <c r="C6" s="994"/>
      <c r="D6" s="481"/>
    </row>
    <row r="7" spans="1:4" s="479" customFormat="1" ht="24.95" customHeight="1">
      <c r="A7" s="487"/>
      <c r="B7" s="488"/>
      <c r="C7" s="485"/>
      <c r="D7" s="180"/>
    </row>
    <row r="8" spans="1:4" s="479" customFormat="1" ht="24.95" customHeight="1">
      <c r="A8" s="990" t="s">
        <v>159</v>
      </c>
      <c r="B8" s="991"/>
      <c r="C8" s="992"/>
      <c r="D8" s="180"/>
    </row>
    <row r="9" spans="1:4" s="479" customFormat="1" ht="29.25" customHeight="1">
      <c r="A9" s="489" t="s">
        <v>216</v>
      </c>
      <c r="B9" s="490">
        <f>3*B4</f>
        <v>0</v>
      </c>
      <c r="C9" s="491" t="s">
        <v>156</v>
      </c>
    </row>
    <row r="10" spans="1:4" s="479" customFormat="1" ht="24.95" customHeight="1">
      <c r="A10" s="492" t="s">
        <v>217</v>
      </c>
      <c r="B10" s="493">
        <f>10*B4</f>
        <v>0</v>
      </c>
      <c r="C10" s="494" t="s">
        <v>156</v>
      </c>
    </row>
    <row r="11" spans="1:4" s="479" customFormat="1" ht="24.95" customHeight="1">
      <c r="A11" s="495"/>
      <c r="B11" s="496"/>
      <c r="C11" s="497"/>
    </row>
    <row r="12" spans="1:4" s="479" customFormat="1" ht="14.25" customHeight="1">
      <c r="A12" s="498"/>
      <c r="B12" s="499"/>
      <c r="C12" s="497"/>
    </row>
    <row r="13" spans="1:4" s="479" customFormat="1" ht="24.95" customHeight="1">
      <c r="A13" s="500" t="s">
        <v>218</v>
      </c>
      <c r="B13" s="501" t="str">
        <f>IF(ISNUMBER(B5),ROUND(IF(B5&lt;B9,0,IF(B5&gt;B10,10,5+(10-5)/(B10-B9)*(B5-B9))),0),"")</f>
        <v/>
      </c>
      <c r="C13" s="494"/>
    </row>
    <row r="14" spans="1:4" s="479" customFormat="1" ht="24.95" customHeight="1">
      <c r="A14" s="502"/>
      <c r="B14" s="503"/>
      <c r="C14" s="504"/>
    </row>
    <row r="15" spans="1:4" s="505" customFormat="1" ht="35.25" customHeight="1">
      <c r="A15" s="506" t="s">
        <v>219</v>
      </c>
      <c r="B15" s="995" t="str">
        <f>B13</f>
        <v/>
      </c>
      <c r="C15" s="996"/>
      <c r="D15" s="479"/>
    </row>
  </sheetData>
  <mergeCells count="5">
    <mergeCell ref="A3:C3"/>
    <mergeCell ref="A8:C8"/>
    <mergeCell ref="A1:C1"/>
    <mergeCell ref="B6:C6"/>
    <mergeCell ref="B15:C15"/>
  </mergeCells>
  <pageMargins left="0.59055118110236238" right="0.59055118110236238" top="0.59055118110236238" bottom="0.59055118110236238" header="0.31496062992125984" footer="0.31496062992125984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H14"/>
  <sheetViews>
    <sheetView showGridLines="0" zoomScale="110" workbookViewId="0">
      <selection activeCell="B13" sqref="B13"/>
    </sheetView>
  </sheetViews>
  <sheetFormatPr baseColWidth="10" defaultColWidth="11.42578125" defaultRowHeight="12.75"/>
  <cols>
    <col min="1" max="1" width="64.42578125" style="180" customWidth="1"/>
    <col min="2" max="2" width="15.140625" style="180" customWidth="1"/>
    <col min="3" max="3" width="13.28515625" style="180" customWidth="1"/>
    <col min="4" max="7" width="11.42578125" style="180" hidden="1" customWidth="1"/>
    <col min="8" max="8" width="30.7109375" style="237" customWidth="1"/>
    <col min="9" max="16384" width="11.42578125" style="180"/>
  </cols>
  <sheetData>
    <row r="1" spans="1:8" s="507" customFormat="1" ht="24.95" customHeight="1">
      <c r="A1" s="845" t="s">
        <v>220</v>
      </c>
      <c r="B1" s="845"/>
      <c r="C1" s="845"/>
      <c r="D1" s="508"/>
      <c r="E1" s="508"/>
      <c r="F1" s="508"/>
      <c r="G1" s="508"/>
      <c r="H1" s="509"/>
    </row>
    <row r="2" spans="1:8" s="507" customFormat="1" ht="7.5" customHeight="1">
      <c r="A2" s="508"/>
      <c r="B2" s="508"/>
      <c r="C2" s="508"/>
      <c r="D2" s="508"/>
      <c r="E2" s="508"/>
      <c r="F2" s="508"/>
      <c r="G2" s="508"/>
      <c r="H2" s="509"/>
    </row>
    <row r="3" spans="1:8" ht="32.25" customHeight="1">
      <c r="A3" s="189" t="s">
        <v>68</v>
      </c>
      <c r="B3" s="510" t="s">
        <v>221</v>
      </c>
      <c r="C3" s="511" t="s">
        <v>222</v>
      </c>
      <c r="H3" s="233" t="s">
        <v>24</v>
      </c>
    </row>
    <row r="4" spans="1:8" s="184" customFormat="1" ht="30" customHeight="1">
      <c r="A4" s="659" t="s">
        <v>359</v>
      </c>
      <c r="B4" s="512">
        <v>10</v>
      </c>
      <c r="C4" s="997"/>
      <c r="D4" s="184">
        <v>0</v>
      </c>
      <c r="E4" s="184">
        <v>0</v>
      </c>
      <c r="F4" s="184">
        <v>0</v>
      </c>
      <c r="G4" s="184">
        <v>0</v>
      </c>
      <c r="H4" s="233"/>
    </row>
    <row r="5" spans="1:8" s="184" customFormat="1" ht="35.25" customHeight="1">
      <c r="A5" s="659" t="s">
        <v>360</v>
      </c>
      <c r="B5" s="512">
        <v>20</v>
      </c>
      <c r="C5" s="998"/>
      <c r="D5" s="184">
        <v>10</v>
      </c>
      <c r="E5" s="184">
        <v>20</v>
      </c>
      <c r="F5" s="184">
        <v>30</v>
      </c>
      <c r="G5" s="184">
        <v>10</v>
      </c>
      <c r="H5" s="233"/>
    </row>
    <row r="6" spans="1:8" s="184" customFormat="1" ht="24.95" customHeight="1">
      <c r="A6" s="659" t="s">
        <v>361</v>
      </c>
      <c r="B6" s="234">
        <v>30</v>
      </c>
      <c r="C6" s="998"/>
      <c r="G6" s="184">
        <v>20</v>
      </c>
      <c r="H6" s="233"/>
    </row>
    <row r="7" spans="1:8" s="184" customFormat="1" ht="42" customHeight="1">
      <c r="A7" s="486" t="s">
        <v>223</v>
      </c>
      <c r="B7" s="204">
        <v>10</v>
      </c>
      <c r="C7" s="998"/>
      <c r="G7" s="184">
        <v>30</v>
      </c>
      <c r="H7" s="233"/>
    </row>
    <row r="8" spans="1:8" s="513" customFormat="1" ht="51">
      <c r="A8" s="486" t="s">
        <v>224</v>
      </c>
      <c r="B8" s="204">
        <v>65</v>
      </c>
      <c r="C8" s="999"/>
      <c r="D8" s="184"/>
      <c r="E8" s="184"/>
      <c r="F8" s="184"/>
      <c r="G8" s="184">
        <v>40</v>
      </c>
      <c r="H8" s="233"/>
    </row>
    <row r="9" spans="1:8" ht="24.95" customHeight="1">
      <c r="A9" s="514" t="s">
        <v>67</v>
      </c>
      <c r="B9" s="515" t="s">
        <v>225</v>
      </c>
      <c r="C9" s="516">
        <f>C4</f>
        <v>0</v>
      </c>
      <c r="D9" s="513"/>
      <c r="E9" s="513"/>
      <c r="F9" s="513"/>
      <c r="G9" s="180">
        <v>65</v>
      </c>
      <c r="H9" s="517"/>
    </row>
    <row r="10" spans="1:8">
      <c r="G10" s="180">
        <v>75</v>
      </c>
    </row>
    <row r="11" spans="1:8">
      <c r="A11" s="213"/>
    </row>
    <row r="12" spans="1:8">
      <c r="A12" s="213"/>
    </row>
    <row r="13" spans="1:8">
      <c r="A13" s="213"/>
    </row>
    <row r="14" spans="1:8">
      <c r="A14" s="213"/>
    </row>
  </sheetData>
  <mergeCells count="2">
    <mergeCell ref="A1:C1"/>
    <mergeCell ref="C4:C8"/>
  </mergeCells>
  <dataValidations count="1">
    <dataValidation type="list" allowBlank="1" showInputMessage="1" showErrorMessage="1" sqref="C4:C8">
      <formula1>$G$4:$G$10</formula1>
    </dataValidation>
  </dataValidations>
  <hyperlinks>
    <hyperlink ref="A11" location="_ftnref1" display="_ftnref1"/>
    <hyperlink ref="A12" location="_ftnref2" display="_ftnref2"/>
    <hyperlink ref="A13" location="_ftnref3" display="_ftnref3"/>
    <hyperlink ref="A14" location="_ftnref4" display="_ftnref4"/>
  </hyperlinks>
  <pageMargins left="0.59055118110236238" right="0.59055118110236238" top="0.59055118110236238" bottom="0.59055118110236238" header="0.31496062992125984" footer="0.31496062992125984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E11"/>
  <sheetViews>
    <sheetView showGridLines="0" zoomScale="90" workbookViewId="0">
      <selection activeCell="C4" sqref="C4:C5"/>
    </sheetView>
  </sheetViews>
  <sheetFormatPr baseColWidth="10" defaultColWidth="11.42578125" defaultRowHeight="12.75"/>
  <cols>
    <col min="1" max="1" width="64.42578125" style="180" customWidth="1"/>
    <col min="2" max="2" width="15.140625" style="180" customWidth="1"/>
    <col min="3" max="3" width="13.28515625" style="180" customWidth="1"/>
    <col min="4" max="4" width="11.42578125" style="180" hidden="1" customWidth="1"/>
    <col min="5" max="5" width="30.7109375" style="237" customWidth="1"/>
    <col min="6" max="16384" width="11.42578125" style="180"/>
  </cols>
  <sheetData>
    <row r="1" spans="1:5" s="507" customFormat="1" ht="24.95" customHeight="1">
      <c r="A1" s="845" t="s">
        <v>226</v>
      </c>
      <c r="B1" s="845"/>
      <c r="C1" s="845"/>
      <c r="D1" s="508"/>
      <c r="E1" s="509"/>
    </row>
    <row r="2" spans="1:5" s="507" customFormat="1" ht="7.5" customHeight="1">
      <c r="A2" s="508"/>
      <c r="B2" s="508"/>
      <c r="C2" s="508"/>
      <c r="D2" s="508"/>
      <c r="E2" s="509"/>
    </row>
    <row r="3" spans="1:5" ht="32.25" customHeight="1">
      <c r="A3" s="189" t="s">
        <v>68</v>
      </c>
      <c r="B3" s="518" t="s">
        <v>227</v>
      </c>
      <c r="C3" s="519" t="s">
        <v>222</v>
      </c>
      <c r="E3" s="233" t="s">
        <v>24</v>
      </c>
    </row>
    <row r="4" spans="1:5" s="184" customFormat="1" ht="30" customHeight="1">
      <c r="A4" s="486" t="s">
        <v>228</v>
      </c>
      <c r="B4" s="512">
        <v>3</v>
      </c>
      <c r="C4" s="827"/>
      <c r="D4" s="184">
        <v>0</v>
      </c>
      <c r="E4" s="233"/>
    </row>
    <row r="5" spans="1:5" s="184" customFormat="1" ht="24.95" customHeight="1">
      <c r="A5" s="520" t="s">
        <v>229</v>
      </c>
      <c r="B5" s="512">
        <v>10</v>
      </c>
      <c r="C5" s="1000"/>
      <c r="D5" s="184">
        <v>3</v>
      </c>
      <c r="E5" s="233"/>
    </row>
    <row r="6" spans="1:5" s="184" customFormat="1" ht="24.95" customHeight="1">
      <c r="A6" s="514" t="s">
        <v>67</v>
      </c>
      <c r="B6" s="521"/>
      <c r="C6" s="516">
        <f>C4</f>
        <v>0</v>
      </c>
      <c r="D6" s="184">
        <v>10</v>
      </c>
      <c r="E6" s="517"/>
    </row>
    <row r="7" spans="1:5" s="184" customFormat="1" ht="64.5" customHeight="1">
      <c r="A7" s="180"/>
      <c r="B7" s="180"/>
      <c r="C7" s="180"/>
      <c r="E7" s="237"/>
    </row>
    <row r="8" spans="1:5" s="513" customFormat="1" ht="24.95" customHeight="1">
      <c r="A8" s="213"/>
      <c r="B8" s="180"/>
      <c r="C8" s="180"/>
      <c r="E8" s="237"/>
    </row>
    <row r="9" spans="1:5">
      <c r="A9" s="213"/>
    </row>
    <row r="10" spans="1:5">
      <c r="A10" s="213"/>
    </row>
    <row r="11" spans="1:5">
      <c r="A11" s="213"/>
    </row>
  </sheetData>
  <mergeCells count="2">
    <mergeCell ref="A1:C1"/>
    <mergeCell ref="C4:C5"/>
  </mergeCells>
  <dataValidations count="1">
    <dataValidation type="list" allowBlank="1" showInputMessage="1" showErrorMessage="1" sqref="C4:C5">
      <formula1>$D$4:$D$6</formula1>
    </dataValidation>
  </dataValidations>
  <hyperlinks>
    <hyperlink ref="A8" location="_ftnref1" display="_ftnref1"/>
    <hyperlink ref="A9" location="_ftnref2" display="_ftnref2"/>
    <hyperlink ref="A10" location="_ftnref3" display="_ftnref3"/>
    <hyperlink ref="A11" location="_ftnref4" display="_ftnref4"/>
  </hyperlinks>
  <pageMargins left="0.59055118110236238" right="0.59055118110236238" top="0.59055118110236238" bottom="0.59055118110236238" header="0.31496062992125984" footer="0.31496062992125984"/>
  <pageSetup paperSize="9" orientation="landscape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F14"/>
  <sheetViews>
    <sheetView showGridLines="0" workbookViewId="0">
      <selection activeCell="D4" sqref="D4:D8"/>
    </sheetView>
  </sheetViews>
  <sheetFormatPr baseColWidth="10" defaultColWidth="11.42578125" defaultRowHeight="12.75"/>
  <cols>
    <col min="1" max="1" width="11.42578125" style="180"/>
    <col min="2" max="2" width="20.42578125" style="180" customWidth="1"/>
    <col min="3" max="3" width="23.140625" style="180" customWidth="1"/>
    <col min="4" max="4" width="13.7109375" style="180" customWidth="1"/>
    <col min="5" max="5" width="11.42578125" style="180" hidden="1" customWidth="1"/>
    <col min="6" max="6" width="30.7109375" style="522" customWidth="1"/>
    <col min="7" max="16384" width="11.42578125" style="180"/>
  </cols>
  <sheetData>
    <row r="1" spans="1:6" ht="24.95" customHeight="1">
      <c r="A1" s="845" t="s">
        <v>230</v>
      </c>
      <c r="B1" s="845"/>
      <c r="C1" s="845"/>
      <c r="D1" s="845"/>
    </row>
    <row r="2" spans="1:6" ht="7.5" customHeight="1">
      <c r="A2" s="182"/>
      <c r="B2" s="182"/>
      <c r="C2" s="182"/>
      <c r="D2" s="182"/>
    </row>
    <row r="3" spans="1:6" s="184" customFormat="1" ht="24.95" customHeight="1">
      <c r="A3" s="1004" t="s">
        <v>231</v>
      </c>
      <c r="B3" s="1005"/>
      <c r="C3" s="1005"/>
      <c r="D3" s="523" t="s">
        <v>70</v>
      </c>
      <c r="F3" s="186" t="s">
        <v>24</v>
      </c>
    </row>
    <row r="4" spans="1:6" s="184" customFormat="1" ht="24.95" customHeight="1">
      <c r="A4" s="524" t="s">
        <v>232</v>
      </c>
      <c r="B4" s="525" t="s">
        <v>233</v>
      </c>
      <c r="C4" s="526" t="s">
        <v>234</v>
      </c>
      <c r="D4" s="1009"/>
      <c r="E4" s="184">
        <v>0</v>
      </c>
      <c r="F4" s="186"/>
    </row>
    <row r="5" spans="1:6" s="184" customFormat="1" ht="24.95" customHeight="1">
      <c r="A5" s="524" t="s">
        <v>235</v>
      </c>
      <c r="B5" s="525" t="s">
        <v>236</v>
      </c>
      <c r="C5" s="526" t="s">
        <v>237</v>
      </c>
      <c r="D5" s="1010"/>
      <c r="E5" s="184">
        <v>20</v>
      </c>
      <c r="F5" s="186"/>
    </row>
    <row r="6" spans="1:6" s="184" customFormat="1" ht="24.95" customHeight="1">
      <c r="A6" s="524" t="s">
        <v>238</v>
      </c>
      <c r="B6" s="525" t="s">
        <v>239</v>
      </c>
      <c r="C6" s="526" t="s">
        <v>240</v>
      </c>
      <c r="D6" s="1010"/>
      <c r="E6" s="184">
        <v>35</v>
      </c>
      <c r="F6" s="186"/>
    </row>
    <row r="7" spans="1:6" s="184" customFormat="1" ht="24.95" customHeight="1">
      <c r="A7" s="524" t="s">
        <v>241</v>
      </c>
      <c r="B7" s="525" t="s">
        <v>242</v>
      </c>
      <c r="C7" s="526" t="s">
        <v>243</v>
      </c>
      <c r="D7" s="1010"/>
      <c r="E7" s="184">
        <v>50</v>
      </c>
      <c r="F7" s="186"/>
    </row>
    <row r="8" spans="1:6" s="184" customFormat="1" ht="24.95" customHeight="1">
      <c r="A8" s="191"/>
      <c r="B8" s="525" t="s">
        <v>244</v>
      </c>
      <c r="C8" s="526" t="s">
        <v>245</v>
      </c>
      <c r="D8" s="1011"/>
      <c r="F8" s="186"/>
    </row>
    <row r="9" spans="1:6" s="184" customFormat="1" ht="24.95" customHeight="1">
      <c r="A9" s="1006" t="s">
        <v>246</v>
      </c>
      <c r="B9" s="1007"/>
      <c r="C9" s="1008"/>
      <c r="D9" s="527"/>
      <c r="F9" s="186"/>
    </row>
    <row r="10" spans="1:6" s="184" customFormat="1" ht="24.95" customHeight="1">
      <c r="A10" s="524" t="s">
        <v>232</v>
      </c>
      <c r="B10" s="525" t="s">
        <v>247</v>
      </c>
      <c r="C10" s="526" t="s">
        <v>240</v>
      </c>
      <c r="D10" s="828"/>
      <c r="E10" s="184">
        <v>0</v>
      </c>
      <c r="F10" s="186"/>
    </row>
    <row r="11" spans="1:6" s="184" customFormat="1" ht="24.95" customHeight="1">
      <c r="A11" s="524" t="s">
        <v>235</v>
      </c>
      <c r="B11" s="525" t="s">
        <v>248</v>
      </c>
      <c r="C11" s="526" t="s">
        <v>249</v>
      </c>
      <c r="D11" s="828"/>
      <c r="E11" s="184">
        <v>5</v>
      </c>
      <c r="F11" s="186"/>
    </row>
    <row r="12" spans="1:6" s="184" customFormat="1" ht="24.95" customHeight="1">
      <c r="A12" s="524" t="s">
        <v>238</v>
      </c>
      <c r="B12" s="525" t="s">
        <v>250</v>
      </c>
      <c r="C12" s="526" t="s">
        <v>251</v>
      </c>
      <c r="D12" s="828"/>
      <c r="E12" s="184">
        <v>10</v>
      </c>
      <c r="F12" s="186"/>
    </row>
    <row r="13" spans="1:6" s="184" customFormat="1" ht="24.95" customHeight="1">
      <c r="A13" s="528" t="s">
        <v>241</v>
      </c>
      <c r="B13" s="529" t="s">
        <v>252</v>
      </c>
      <c r="C13" s="530" t="s">
        <v>243</v>
      </c>
      <c r="D13" s="1000"/>
      <c r="E13" s="184">
        <v>20</v>
      </c>
      <c r="F13" s="186"/>
    </row>
    <row r="14" spans="1:6" s="188" customFormat="1" ht="24.95" customHeight="1">
      <c r="A14" s="1001" t="s">
        <v>67</v>
      </c>
      <c r="B14" s="1002"/>
      <c r="C14" s="1003"/>
      <c r="D14" s="516">
        <f>IF(SUM(D4:D13)&lt;70,SUM(D4:D13),70)</f>
        <v>0</v>
      </c>
      <c r="F14" s="243"/>
    </row>
  </sheetData>
  <mergeCells count="6">
    <mergeCell ref="A14:C14"/>
    <mergeCell ref="A3:C3"/>
    <mergeCell ref="A9:C9"/>
    <mergeCell ref="A1:D1"/>
    <mergeCell ref="D4:D8"/>
    <mergeCell ref="D10:D13"/>
  </mergeCells>
  <dataValidations count="2">
    <dataValidation type="list" allowBlank="1" showInputMessage="1" showErrorMessage="1" errorTitle="Falscher Wert!" error="Bitte geben Sie die Zahl 0,20,35 oder 50 ein." sqref="D4">
      <formula1>$E$4:$E$7</formula1>
    </dataValidation>
    <dataValidation type="list" allowBlank="1" showInputMessage="1" showErrorMessage="1" errorTitle="Falscher Wert!" error="Bitte geben Sie die Zahl 0,10,20 oder 30 ein." sqref="D10:D13">
      <formula1>$E$10:$E$13</formula1>
    </dataValidation>
  </dataValidations>
  <pageMargins left="0.59055118110236238" right="0.59055118110236238" top="0.59055118110236238" bottom="0.59055118110236238" header="0.31496062992125984" footer="0.31496062992125984"/>
  <pageSetup paperSize="9" orientation="landscape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zoomScaleNormal="100" workbookViewId="0">
      <selection activeCell="C19" sqref="C19"/>
    </sheetView>
  </sheetViews>
  <sheetFormatPr baseColWidth="10" defaultColWidth="11.42578125" defaultRowHeight="12.75"/>
  <cols>
    <col min="1" max="1" width="29.7109375" style="761" customWidth="1"/>
    <col min="2" max="2" width="88.42578125" style="761" customWidth="1"/>
    <col min="3" max="3" width="11.42578125" style="762"/>
    <col min="4" max="4" width="11.42578125" style="761" customWidth="1"/>
    <col min="5" max="5" width="0.140625" style="761" customWidth="1"/>
    <col min="6" max="6" width="30.7109375" style="761" customWidth="1"/>
    <col min="7" max="16384" width="11.42578125" style="761"/>
  </cols>
  <sheetData>
    <row r="1" spans="1:9" s="730" customFormat="1" ht="24.95" customHeight="1">
      <c r="A1" s="916" t="s">
        <v>396</v>
      </c>
      <c r="B1" s="917"/>
      <c r="C1" s="917"/>
      <c r="D1" s="917"/>
      <c r="E1" s="729"/>
    </row>
    <row r="2" spans="1:9" s="734" customFormat="1" ht="7.5" customHeight="1" thickBot="1">
      <c r="A2" s="731"/>
      <c r="B2" s="690"/>
      <c r="C2" s="732"/>
      <c r="D2" s="732"/>
      <c r="E2" s="733"/>
    </row>
    <row r="3" spans="1:9" s="734" customFormat="1" ht="38.25">
      <c r="A3" s="1016" t="s">
        <v>68</v>
      </c>
      <c r="B3" s="1017"/>
      <c r="C3" s="735" t="s">
        <v>253</v>
      </c>
      <c r="D3" s="736" t="s">
        <v>70</v>
      </c>
      <c r="F3" s="737" t="s">
        <v>24</v>
      </c>
    </row>
    <row r="4" spans="1:9" s="734" customFormat="1" ht="24.95" customHeight="1">
      <c r="A4" s="1012" t="s">
        <v>62</v>
      </c>
      <c r="B4" s="738" t="s">
        <v>254</v>
      </c>
      <c r="C4" s="1020">
        <v>5</v>
      </c>
      <c r="D4" s="1021">
        <v>0</v>
      </c>
      <c r="F4" s="739"/>
    </row>
    <row r="5" spans="1:9" s="734" customFormat="1" ht="24.95" customHeight="1">
      <c r="A5" s="1018"/>
      <c r="B5" s="740" t="s">
        <v>397</v>
      </c>
      <c r="C5" s="1020"/>
      <c r="D5" s="1022"/>
      <c r="F5" s="741"/>
      <c r="I5" s="742" t="s">
        <v>255</v>
      </c>
    </row>
    <row r="6" spans="1:9" s="734" customFormat="1" ht="24.95" customHeight="1">
      <c r="A6" s="1018"/>
      <c r="B6" s="740" t="s">
        <v>398</v>
      </c>
      <c r="C6" s="1020"/>
      <c r="D6" s="1022"/>
      <c r="F6" s="741"/>
    </row>
    <row r="7" spans="1:9" s="734" customFormat="1" ht="24.95" customHeight="1">
      <c r="A7" s="1018"/>
      <c r="B7" s="740" t="s">
        <v>399</v>
      </c>
      <c r="C7" s="1020"/>
      <c r="D7" s="1023"/>
      <c r="F7" s="743"/>
    </row>
    <row r="8" spans="1:9" s="734" customFormat="1" ht="24.95" customHeight="1">
      <c r="A8" s="1018"/>
      <c r="B8" s="738" t="s">
        <v>256</v>
      </c>
      <c r="C8" s="1020">
        <v>10</v>
      </c>
      <c r="D8" s="1024">
        <v>0</v>
      </c>
      <c r="E8" s="734">
        <v>0</v>
      </c>
      <c r="F8" s="739"/>
    </row>
    <row r="9" spans="1:9" s="734" customFormat="1" ht="24.95" customHeight="1">
      <c r="A9" s="1018"/>
      <c r="B9" s="744" t="s">
        <v>257</v>
      </c>
      <c r="C9" s="1020"/>
      <c r="D9" s="1025"/>
      <c r="E9" s="734">
        <v>10</v>
      </c>
      <c r="F9" s="743"/>
    </row>
    <row r="10" spans="1:9" s="734" customFormat="1" ht="24.95" customHeight="1">
      <c r="A10" s="1018"/>
      <c r="B10" s="738" t="s">
        <v>258</v>
      </c>
      <c r="C10" s="745"/>
      <c r="D10" s="746"/>
      <c r="E10" s="734">
        <v>0</v>
      </c>
      <c r="F10" s="739"/>
    </row>
    <row r="11" spans="1:9" s="734" customFormat="1" ht="24.95" customHeight="1">
      <c r="A11" s="1018"/>
      <c r="B11" s="744" t="s">
        <v>259</v>
      </c>
      <c r="C11" s="747">
        <v>5</v>
      </c>
      <c r="D11" s="726"/>
      <c r="E11" s="734">
        <v>5</v>
      </c>
      <c r="F11" s="741"/>
    </row>
    <row r="12" spans="1:9" s="734" customFormat="1" ht="24.95" customHeight="1">
      <c r="A12" s="1019"/>
      <c r="B12" s="748" t="s">
        <v>260</v>
      </c>
      <c r="C12" s="749">
        <v>5</v>
      </c>
      <c r="D12" s="704"/>
      <c r="E12" s="734">
        <v>0</v>
      </c>
      <c r="F12" s="743"/>
    </row>
    <row r="13" spans="1:9" s="734" customFormat="1" ht="38.25">
      <c r="A13" s="1012" t="s">
        <v>400</v>
      </c>
      <c r="B13" s="750" t="s">
        <v>401</v>
      </c>
      <c r="C13" s="751">
        <v>5</v>
      </c>
      <c r="D13" s="704"/>
      <c r="E13" s="734">
        <v>5</v>
      </c>
      <c r="F13" s="752"/>
    </row>
    <row r="14" spans="1:9" s="734" customFormat="1" ht="38.25">
      <c r="A14" s="1013"/>
      <c r="B14" s="750" t="s">
        <v>402</v>
      </c>
      <c r="C14" s="751">
        <v>5</v>
      </c>
      <c r="D14" s="753"/>
      <c r="E14" s="734">
        <v>0</v>
      </c>
      <c r="F14" s="754"/>
    </row>
    <row r="15" spans="1:9" s="734" customFormat="1" ht="24.95" customHeight="1">
      <c r="A15" s="1013"/>
      <c r="B15" s="755" t="s">
        <v>403</v>
      </c>
      <c r="C15" s="751">
        <v>3</v>
      </c>
      <c r="D15" s="704"/>
      <c r="E15" s="734">
        <v>3</v>
      </c>
      <c r="F15" s="752"/>
    </row>
    <row r="16" spans="1:9" s="734" customFormat="1" ht="24.95" customHeight="1">
      <c r="A16" s="1014"/>
      <c r="B16" s="755" t="s">
        <v>404</v>
      </c>
      <c r="C16" s="751">
        <v>3</v>
      </c>
      <c r="D16" s="756"/>
      <c r="F16" s="752"/>
    </row>
    <row r="17" spans="1:6" s="759" customFormat="1" ht="24.95" customHeight="1" thickBot="1">
      <c r="A17" s="927" t="s">
        <v>67</v>
      </c>
      <c r="B17" s="1015"/>
      <c r="C17" s="757"/>
      <c r="D17" s="758">
        <f>IF(SUM(D4:D16)&lt;30, SUM(D4:D16),30)</f>
        <v>0</v>
      </c>
      <c r="F17" s="760"/>
    </row>
  </sheetData>
  <sheetProtection selectLockedCells="1"/>
  <mergeCells count="9">
    <mergeCell ref="A13:A16"/>
    <mergeCell ref="A17:B17"/>
    <mergeCell ref="A1:D1"/>
    <mergeCell ref="A3:B3"/>
    <mergeCell ref="A4:A12"/>
    <mergeCell ref="C4:C7"/>
    <mergeCell ref="D4:D7"/>
    <mergeCell ref="C8:C9"/>
    <mergeCell ref="D8:D9"/>
  </mergeCells>
  <dataValidations count="6">
    <dataValidation type="list" allowBlank="1" showInputMessage="1" showErrorMessage="1" errorTitle="Falscher Wert!" error="Bitte geben Sie die Zahl 0 oder 5 ein." sqref="D12:D14">
      <formula1>$E$12:$E$13</formula1>
    </dataValidation>
    <dataValidation type="list" allowBlank="1" showInputMessage="1" showErrorMessage="1" errorTitle="Falscher Wert!" error="Bitte geben Sie die Zahl 0 oder 5 ein." sqref="D15:D16">
      <formula1>$E$14:$E$15</formula1>
    </dataValidation>
    <dataValidation type="list" allowBlank="1" showInputMessage="1" showErrorMessage="1" errorTitle="Falscher Wert!" error="Bitte geben Sie die Zahl 0 oder 10 ein." sqref="D11">
      <formula1>$E$10:$E$11</formula1>
    </dataValidation>
    <dataValidation allowBlank="1" showInputMessage="1" showErrorMessage="1" errorTitle="Falscher Wert!" error="Bitte geben Sie die Zahl 0,5 oder 10 ein." sqref="D10"/>
    <dataValidation type="list" allowBlank="1" showInputMessage="1" showErrorMessage="1" errorTitle="Falscher Wert!" error="Bitte geben Sie die Zahl 0 oder 20 ein." sqref="D8:D9">
      <formula1>$E$9:$E$10</formula1>
    </dataValidation>
    <dataValidation type="list" allowBlank="1" showInputMessage="1" showErrorMessage="1" errorTitle="Falscher Wert!" error="Bitte geben Sie die Zahl 0 ein." sqref="D4:D7">
      <formula1>$E$10:$E$11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outlinePr summaryRight="0"/>
    <pageSetUpPr fitToPage="1"/>
  </sheetPr>
  <dimension ref="B1:AR59"/>
  <sheetViews>
    <sheetView showGridLines="0" topLeftCell="A7" zoomScale="85" zoomScaleNormal="85" workbookViewId="0">
      <selection activeCell="F14" sqref="F14"/>
    </sheetView>
  </sheetViews>
  <sheetFormatPr baseColWidth="10" defaultColWidth="11.42578125" defaultRowHeight="12.75" outlineLevelCol="1"/>
  <cols>
    <col min="1" max="1" width="1.7109375" style="10" customWidth="1"/>
    <col min="2" max="2" width="25.42578125" style="11" customWidth="1"/>
    <col min="3" max="3" width="12.85546875" style="12" customWidth="1"/>
    <col min="4" max="4" width="5.28515625" style="13" customWidth="1"/>
    <col min="5" max="5" width="80.140625" style="14" customWidth="1"/>
    <col min="6" max="6" width="15.85546875" style="11" customWidth="1"/>
    <col min="7" max="7" width="11.85546875" style="15" customWidth="1"/>
    <col min="8" max="8" width="19.7109375" style="14" hidden="1" customWidth="1"/>
    <col min="9" max="9" width="2.42578125" style="14" hidden="1" customWidth="1"/>
    <col min="10" max="10" width="3.7109375" style="14" customWidth="1" collapsed="1"/>
    <col min="11" max="11" width="3.7109375" style="14" hidden="1" customWidth="1" outlineLevel="1"/>
    <col min="12" max="12" width="9" style="14" hidden="1" customWidth="1" outlineLevel="1"/>
    <col min="13" max="13" width="27.7109375" style="14" hidden="1" customWidth="1" outlineLevel="1"/>
    <col min="14" max="14" width="3.7109375" style="14" hidden="1" customWidth="1" outlineLevel="1"/>
    <col min="15" max="15" width="3.7109375" style="14" customWidth="1" collapsed="1"/>
    <col min="16" max="16" width="3.7109375" style="14" hidden="1" customWidth="1" outlineLevel="1"/>
    <col min="17" max="17" width="11.28515625" style="14" hidden="1" customWidth="1" outlineLevel="1"/>
    <col min="18" max="18" width="46.5703125" style="10" hidden="1" customWidth="1" outlineLevel="1"/>
    <col min="19" max="19" width="3.7109375" style="10" hidden="1" customWidth="1" outlineLevel="1"/>
    <col min="20" max="20" width="3.7109375" style="14" customWidth="1" collapsed="1"/>
    <col min="21" max="21" width="3.7109375" style="14" hidden="1" customWidth="1" outlineLevel="1"/>
    <col min="22" max="22" width="11.28515625" style="14" hidden="1" customWidth="1" outlineLevel="1"/>
    <col min="23" max="23" width="46.5703125" style="10" hidden="1" customWidth="1" outlineLevel="1"/>
    <col min="24" max="24" width="3.7109375" style="10" hidden="1" customWidth="1" outlineLevel="1"/>
    <col min="25" max="25" width="3.7109375" style="14" customWidth="1" collapsed="1"/>
    <col min="26" max="26" width="3.7109375" style="14" hidden="1" customWidth="1" outlineLevel="1"/>
    <col min="27" max="27" width="11.28515625" style="14" hidden="1" customWidth="1" outlineLevel="1"/>
    <col min="28" max="28" width="46.5703125" style="10" hidden="1" customWidth="1" outlineLevel="1"/>
    <col min="29" max="29" width="3.7109375" style="10" hidden="1" customWidth="1" outlineLevel="1"/>
    <col min="30" max="30" width="3.7109375" style="10" customWidth="1" collapsed="1"/>
    <col min="31" max="31" width="3.7109375" style="14" hidden="1" customWidth="1" outlineLevel="1"/>
    <col min="32" max="32" width="11.28515625" style="14" hidden="1" customWidth="1" outlineLevel="1"/>
    <col min="33" max="33" width="46.5703125" style="10" hidden="1" customWidth="1" outlineLevel="1"/>
    <col min="34" max="34" width="3.7109375" style="10" hidden="1" customWidth="1" outlineLevel="1"/>
    <col min="35" max="35" width="3.7109375" style="10" customWidth="1" collapsed="1"/>
    <col min="36" max="36" width="3.7109375" style="14" hidden="1" customWidth="1" outlineLevel="1"/>
    <col min="37" max="37" width="11.28515625" style="14" hidden="1" customWidth="1" outlineLevel="1"/>
    <col min="38" max="38" width="46.5703125" style="10" hidden="1" customWidth="1" outlineLevel="1"/>
    <col min="39" max="39" width="3.7109375" style="10" hidden="1" customWidth="1" outlineLevel="1"/>
    <col min="40" max="40" width="3.7109375" style="10" customWidth="1" collapsed="1"/>
    <col min="41" max="41" width="3.7109375" style="14" hidden="1" customWidth="1" outlineLevel="1"/>
    <col min="42" max="42" width="11.28515625" style="14" hidden="1" customWidth="1" outlineLevel="1"/>
    <col min="43" max="43" width="46.5703125" style="10" hidden="1" customWidth="1" outlineLevel="1"/>
    <col min="44" max="44" width="3.7109375" style="10" hidden="1" customWidth="1" outlineLevel="1"/>
    <col min="45" max="45" width="3.7109375" style="10" customWidth="1"/>
    <col min="46" max="16384" width="11.42578125" style="10"/>
  </cols>
  <sheetData>
    <row r="1" spans="2:43" ht="78" customHeight="1">
      <c r="B1" s="15"/>
      <c r="C1" s="16"/>
      <c r="D1" s="17"/>
      <c r="E1" s="822"/>
      <c r="F1" s="823"/>
      <c r="G1" s="823"/>
      <c r="O1" s="20">
        <f>R8</f>
        <v>0</v>
      </c>
      <c r="T1" s="20">
        <f>W8</f>
        <v>0</v>
      </c>
      <c r="Y1" s="20">
        <f>AB8</f>
        <v>0</v>
      </c>
      <c r="AD1" s="20">
        <f>AG8</f>
        <v>0</v>
      </c>
      <c r="AI1" s="20">
        <f>AL8</f>
        <v>0</v>
      </c>
      <c r="AN1" s="20">
        <f>AQ8</f>
        <v>0</v>
      </c>
      <c r="AO1" s="10"/>
      <c r="AP1" s="10"/>
    </row>
    <row r="2" spans="2:43" ht="24.95" customHeight="1" thickBot="1">
      <c r="B2" s="15"/>
      <c r="C2" s="16"/>
      <c r="D2" s="17"/>
      <c r="E2" s="18"/>
      <c r="F2" s="19"/>
      <c r="G2" s="19"/>
      <c r="O2" s="20"/>
      <c r="T2" s="20"/>
      <c r="Y2" s="20"/>
      <c r="AD2" s="20"/>
      <c r="AI2" s="20"/>
      <c r="AN2" s="20"/>
      <c r="AO2" s="10"/>
      <c r="AP2" s="10"/>
    </row>
    <row r="3" spans="2:43" ht="30" customHeight="1" thickBot="1">
      <c r="B3" s="21" t="s">
        <v>8</v>
      </c>
      <c r="C3" s="815"/>
      <c r="D3" s="816"/>
      <c r="E3" s="816"/>
      <c r="F3" s="816"/>
      <c r="G3" s="817"/>
      <c r="J3" s="824"/>
      <c r="K3" s="824"/>
      <c r="L3" s="824"/>
      <c r="M3" s="824"/>
      <c r="O3" s="821" t="s">
        <v>9</v>
      </c>
      <c r="T3" s="821" t="s">
        <v>10</v>
      </c>
      <c r="Y3" s="821" t="s">
        <v>11</v>
      </c>
      <c r="AD3" s="821" t="s">
        <v>12</v>
      </c>
      <c r="AI3" s="821" t="s">
        <v>13</v>
      </c>
      <c r="AN3" s="821" t="s">
        <v>14</v>
      </c>
      <c r="AO3" s="10"/>
      <c r="AP3" s="10"/>
    </row>
    <row r="4" spans="2:43" ht="30" customHeight="1" thickBot="1">
      <c r="B4" s="22"/>
      <c r="C4" s="23"/>
      <c r="D4" s="23"/>
      <c r="E4" s="24"/>
      <c r="F4" s="24"/>
      <c r="G4" s="24"/>
      <c r="J4" s="824"/>
      <c r="K4" s="824"/>
      <c r="L4" s="824"/>
      <c r="M4" s="824"/>
      <c r="O4" s="821"/>
      <c r="T4" s="821"/>
      <c r="Y4" s="821"/>
      <c r="AD4" s="821"/>
      <c r="AI4" s="821"/>
      <c r="AN4" s="821"/>
      <c r="AO4" s="10"/>
      <c r="AP4" s="10"/>
    </row>
    <row r="5" spans="2:43" ht="43.5" customHeight="1" thickBot="1">
      <c r="B5" s="818" t="s">
        <v>15</v>
      </c>
      <c r="C5" s="819"/>
      <c r="D5" s="820"/>
      <c r="E5" s="25" t="s">
        <v>16</v>
      </c>
      <c r="F5" s="2"/>
      <c r="G5" s="2"/>
      <c r="J5" s="824"/>
      <c r="K5" s="824"/>
      <c r="L5" s="824"/>
      <c r="M5" s="824"/>
      <c r="O5" s="26"/>
      <c r="T5" s="26"/>
      <c r="Y5" s="26"/>
      <c r="AD5" s="26"/>
      <c r="AI5" s="26"/>
      <c r="AN5" s="26"/>
      <c r="AO5" s="10"/>
      <c r="AP5" s="10"/>
    </row>
    <row r="6" spans="2:43" ht="18.75" customHeight="1">
      <c r="B6" s="27"/>
      <c r="C6" s="27"/>
      <c r="D6" s="27"/>
      <c r="E6" s="2"/>
      <c r="F6" s="23"/>
      <c r="G6" s="23"/>
      <c r="J6" s="824"/>
      <c r="K6" s="824"/>
      <c r="L6" s="824"/>
      <c r="M6" s="824"/>
      <c r="O6" s="26"/>
      <c r="T6" s="26"/>
      <c r="Y6" s="26"/>
      <c r="AD6" s="26"/>
      <c r="AI6" s="26"/>
      <c r="AN6" s="26"/>
      <c r="AO6" s="10"/>
      <c r="AP6" s="10"/>
    </row>
    <row r="7" spans="2:43" ht="18.75" customHeight="1" thickBot="1">
      <c r="B7" s="15"/>
      <c r="C7" s="16"/>
      <c r="D7" s="28"/>
      <c r="E7" s="822"/>
      <c r="F7" s="823"/>
      <c r="G7" s="823"/>
      <c r="J7" s="824"/>
      <c r="K7" s="824"/>
      <c r="L7" s="824"/>
      <c r="M7" s="824"/>
      <c r="O7" s="29"/>
      <c r="T7" s="30"/>
      <c r="Y7" s="30"/>
      <c r="AD7" s="1"/>
      <c r="AI7" s="1"/>
      <c r="AN7" s="1"/>
      <c r="AO7" s="10"/>
      <c r="AP7" s="10"/>
    </row>
    <row r="8" spans="2:43" ht="42" customHeight="1" thickBot="1">
      <c r="B8" s="31"/>
      <c r="C8" s="16"/>
      <c r="D8" s="32"/>
      <c r="E8" s="33" t="s">
        <v>17</v>
      </c>
      <c r="F8" s="813">
        <f>IF((G11+G22+G39+G46)&lt;1000,(G11+G22+G39+G46),1000)</f>
        <v>0</v>
      </c>
      <c r="G8" s="814">
        <f>IF(SUM(G9:G13)&lt;225,SUM(G9:G13),225)</f>
        <v>0</v>
      </c>
      <c r="Q8" s="34" t="s">
        <v>18</v>
      </c>
      <c r="R8" s="35"/>
      <c r="S8" s="36"/>
      <c r="V8" s="34" t="s">
        <v>18</v>
      </c>
      <c r="W8" s="35"/>
      <c r="X8" s="36"/>
      <c r="AA8" s="34" t="s">
        <v>18</v>
      </c>
      <c r="AB8" s="35"/>
      <c r="AC8" s="36"/>
      <c r="AF8" s="34" t="s">
        <v>18</v>
      </c>
      <c r="AG8" s="35"/>
      <c r="AH8" s="36"/>
      <c r="AK8" s="34" t="s">
        <v>18</v>
      </c>
      <c r="AL8" s="35"/>
      <c r="AM8" s="36"/>
      <c r="AP8" s="34" t="s">
        <v>18</v>
      </c>
      <c r="AQ8" s="35"/>
    </row>
    <row r="9" spans="2:43" ht="31.5" customHeight="1">
      <c r="B9" s="805" t="s">
        <v>19</v>
      </c>
      <c r="C9" s="806"/>
      <c r="D9" s="807"/>
      <c r="E9" s="811" t="s">
        <v>20</v>
      </c>
      <c r="F9" s="37" t="s">
        <v>21</v>
      </c>
      <c r="G9" s="38" t="s">
        <v>22</v>
      </c>
      <c r="I9" s="39"/>
      <c r="P9" s="40"/>
      <c r="Q9" s="41" t="s">
        <v>23</v>
      </c>
      <c r="R9" s="42" t="s">
        <v>24</v>
      </c>
      <c r="S9" s="43"/>
      <c r="U9" s="40"/>
      <c r="V9" s="44" t="s">
        <v>23</v>
      </c>
      <c r="W9" s="45" t="s">
        <v>24</v>
      </c>
      <c r="X9" s="43"/>
      <c r="Z9" s="40"/>
      <c r="AA9" s="44" t="s">
        <v>23</v>
      </c>
      <c r="AB9" s="45" t="s">
        <v>24</v>
      </c>
      <c r="AC9" s="43"/>
      <c r="AE9" s="40"/>
      <c r="AF9" s="44" t="s">
        <v>23</v>
      </c>
      <c r="AG9" s="45" t="s">
        <v>24</v>
      </c>
      <c r="AH9" s="43"/>
      <c r="AJ9" s="40"/>
      <c r="AK9" s="44" t="s">
        <v>23</v>
      </c>
      <c r="AL9" s="45" t="s">
        <v>24</v>
      </c>
      <c r="AM9" s="43"/>
      <c r="AO9" s="40"/>
      <c r="AP9" s="44" t="s">
        <v>23</v>
      </c>
      <c r="AQ9" s="45" t="s">
        <v>24</v>
      </c>
    </row>
    <row r="10" spans="2:43" ht="4.5" customHeight="1" thickBot="1">
      <c r="B10" s="808"/>
      <c r="C10" s="809"/>
      <c r="D10" s="810"/>
      <c r="E10" s="812"/>
      <c r="F10" s="37"/>
      <c r="G10" s="46"/>
      <c r="Q10" s="47"/>
      <c r="V10" s="47"/>
      <c r="AA10" s="47"/>
      <c r="AF10" s="47"/>
      <c r="AK10" s="47"/>
      <c r="AP10" s="47"/>
    </row>
    <row r="11" spans="2:43" s="48" customFormat="1" ht="30" customHeight="1">
      <c r="B11" s="49" t="s">
        <v>25</v>
      </c>
      <c r="C11" s="50"/>
      <c r="D11" s="51"/>
      <c r="E11" s="52" t="s">
        <v>26</v>
      </c>
      <c r="F11" s="53">
        <v>230</v>
      </c>
      <c r="G11" s="54">
        <f>IF(SUM(G12:G20)&lt;230,SUM(G12:G20),230)</f>
        <v>0</v>
      </c>
      <c r="H11" s="55"/>
      <c r="I11" s="55"/>
      <c r="J11" s="55"/>
      <c r="K11" s="56"/>
      <c r="L11" s="57"/>
      <c r="M11" s="58" t="s">
        <v>27</v>
      </c>
      <c r="N11" s="16"/>
      <c r="O11" s="16"/>
      <c r="P11" s="16"/>
      <c r="Q11" s="59"/>
      <c r="R11" s="60"/>
      <c r="T11" s="55"/>
      <c r="U11" s="61"/>
      <c r="V11" s="59"/>
      <c r="W11" s="60"/>
      <c r="Y11" s="55"/>
      <c r="Z11" s="61"/>
      <c r="AA11" s="59"/>
      <c r="AB11" s="60"/>
      <c r="AE11" s="61"/>
      <c r="AF11" s="59"/>
      <c r="AG11" s="60"/>
      <c r="AJ11" s="61"/>
      <c r="AK11" s="59"/>
      <c r="AL11" s="60"/>
      <c r="AO11" s="61"/>
      <c r="AP11" s="59"/>
      <c r="AQ11" s="60"/>
    </row>
    <row r="12" spans="2:43" s="43" customFormat="1" ht="30" customHeight="1">
      <c r="B12" s="62" t="s">
        <v>25</v>
      </c>
      <c r="C12" s="63">
        <v>1</v>
      </c>
      <c r="D12" s="64">
        <v>1</v>
      </c>
      <c r="E12" s="65" t="s">
        <v>28</v>
      </c>
      <c r="F12" s="44">
        <v>10</v>
      </c>
      <c r="G12" s="68">
        <v>0</v>
      </c>
      <c r="H12" s="67">
        <v>5</v>
      </c>
      <c r="I12" s="67"/>
      <c r="J12" s="69"/>
      <c r="K12" s="67"/>
      <c r="L12" s="67"/>
      <c r="M12" s="67"/>
      <c r="N12" s="67"/>
      <c r="O12" s="67"/>
      <c r="P12" s="71"/>
      <c r="Q12" s="570"/>
      <c r="R12" s="45"/>
      <c r="S12" s="70"/>
      <c r="T12" s="67"/>
      <c r="U12" s="71"/>
      <c r="V12" s="68"/>
      <c r="W12" s="45"/>
      <c r="Y12" s="67"/>
      <c r="Z12" s="71"/>
      <c r="AA12" s="68"/>
      <c r="AB12" s="45"/>
      <c r="AD12" s="11"/>
      <c r="AE12" s="71"/>
      <c r="AF12" s="68"/>
      <c r="AG12" s="45"/>
      <c r="AJ12" s="71"/>
      <c r="AK12" s="68"/>
      <c r="AL12" s="45"/>
      <c r="AM12" s="70"/>
      <c r="AO12" s="71"/>
      <c r="AP12" s="68"/>
      <c r="AQ12" s="45"/>
    </row>
    <row r="13" spans="2:43" s="43" customFormat="1" ht="30" customHeight="1">
      <c r="B13" s="62" t="s">
        <v>25</v>
      </c>
      <c r="C13" s="63">
        <v>1</v>
      </c>
      <c r="D13" s="64">
        <v>2</v>
      </c>
      <c r="E13" s="64" t="s">
        <v>29</v>
      </c>
      <c r="F13" s="72">
        <v>110</v>
      </c>
      <c r="G13" s="66">
        <f>'A 1.2'!D26</f>
        <v>0</v>
      </c>
      <c r="H13" s="67">
        <v>10</v>
      </c>
      <c r="I13" s="67"/>
      <c r="J13" s="67"/>
      <c r="K13" s="67"/>
      <c r="L13" s="67"/>
      <c r="M13" s="67"/>
      <c r="N13" s="67"/>
      <c r="O13" s="67"/>
      <c r="P13" s="71"/>
      <c r="Q13" s="143"/>
      <c r="R13" s="45"/>
      <c r="S13" s="70"/>
      <c r="T13" s="67"/>
      <c r="U13" s="71"/>
      <c r="V13" s="66"/>
      <c r="W13" s="45"/>
      <c r="Y13" s="67"/>
      <c r="Z13" s="71"/>
      <c r="AA13" s="66"/>
      <c r="AB13" s="45"/>
      <c r="AC13" s="70"/>
      <c r="AE13" s="71"/>
      <c r="AF13" s="66"/>
      <c r="AG13" s="45"/>
      <c r="AJ13" s="71"/>
      <c r="AK13" s="66"/>
      <c r="AL13" s="45"/>
      <c r="AM13" s="70"/>
      <c r="AO13" s="71"/>
      <c r="AP13" s="66"/>
      <c r="AQ13" s="45"/>
    </row>
    <row r="14" spans="2:43" s="43" customFormat="1" ht="30" customHeight="1">
      <c r="B14" s="62" t="s">
        <v>25</v>
      </c>
      <c r="C14" s="63">
        <v>1</v>
      </c>
      <c r="D14" s="64">
        <v>3</v>
      </c>
      <c r="E14" s="64" t="s">
        <v>273</v>
      </c>
      <c r="F14" s="72">
        <v>40</v>
      </c>
      <c r="G14" s="66">
        <f>'A 1.3'!E44</f>
        <v>0</v>
      </c>
      <c r="H14" s="67">
        <v>0</v>
      </c>
      <c r="I14" s="67"/>
      <c r="J14" s="67"/>
      <c r="K14" s="67"/>
      <c r="L14" s="67"/>
      <c r="M14" s="67"/>
      <c r="N14" s="67"/>
      <c r="O14" s="67"/>
      <c r="P14" s="71"/>
      <c r="Q14" s="143"/>
      <c r="R14" s="45"/>
      <c r="S14" s="70"/>
      <c r="T14" s="67"/>
      <c r="U14" s="71"/>
      <c r="V14" s="66"/>
      <c r="W14" s="45"/>
      <c r="Y14" s="67"/>
      <c r="Z14" s="71"/>
      <c r="AA14" s="66"/>
      <c r="AB14" s="45"/>
      <c r="AC14" s="70"/>
      <c r="AE14" s="71"/>
      <c r="AF14" s="66"/>
      <c r="AG14" s="45"/>
      <c r="AJ14" s="71"/>
      <c r="AK14" s="66"/>
      <c r="AL14" s="45"/>
      <c r="AM14" s="70"/>
      <c r="AO14" s="71"/>
      <c r="AP14" s="66"/>
      <c r="AQ14" s="45"/>
    </row>
    <row r="15" spans="2:43" s="43" customFormat="1" ht="30" customHeight="1">
      <c r="B15" s="62" t="s">
        <v>25</v>
      </c>
      <c r="C15" s="73" t="s">
        <v>30</v>
      </c>
      <c r="D15" s="74">
        <v>4</v>
      </c>
      <c r="E15" s="75" t="s">
        <v>272</v>
      </c>
      <c r="F15" s="73">
        <v>20</v>
      </c>
      <c r="G15" s="66">
        <f>IF(ISNUMBER('A 1.4'!D23),'A 1.4'!D23,0)</f>
        <v>0</v>
      </c>
      <c r="H15" s="67">
        <v>10</v>
      </c>
      <c r="I15" s="67"/>
      <c r="J15" s="76"/>
      <c r="K15" s="67"/>
      <c r="L15" s="67"/>
      <c r="M15" s="67"/>
      <c r="N15" s="67"/>
      <c r="O15" s="67"/>
      <c r="P15" s="71"/>
      <c r="Q15" s="143"/>
      <c r="R15" s="45"/>
      <c r="S15" s="70"/>
      <c r="T15" s="67"/>
      <c r="U15" s="71"/>
      <c r="V15" s="66"/>
      <c r="W15" s="45"/>
      <c r="Y15" s="67"/>
      <c r="Z15" s="71"/>
      <c r="AA15" s="66"/>
      <c r="AB15" s="45"/>
      <c r="AC15" s="70"/>
      <c r="AE15" s="71"/>
      <c r="AF15" s="66"/>
      <c r="AG15" s="45"/>
      <c r="AJ15" s="71"/>
      <c r="AK15" s="66"/>
      <c r="AL15" s="45"/>
      <c r="AM15" s="70"/>
      <c r="AO15" s="71"/>
      <c r="AP15" s="66"/>
      <c r="AQ15" s="45"/>
    </row>
    <row r="16" spans="2:43" s="43" customFormat="1" ht="30" customHeight="1">
      <c r="B16" s="62" t="s">
        <v>25</v>
      </c>
      <c r="C16" s="73" t="s">
        <v>30</v>
      </c>
      <c r="D16" s="74">
        <v>5</v>
      </c>
      <c r="E16" s="549" t="s">
        <v>274</v>
      </c>
      <c r="F16" s="73">
        <v>5</v>
      </c>
      <c r="G16" s="66">
        <f>'A 1.5'!C7</f>
        <v>0</v>
      </c>
      <c r="H16" s="67"/>
      <c r="I16" s="67"/>
      <c r="J16" s="76"/>
      <c r="K16" s="67"/>
      <c r="L16" s="67"/>
      <c r="M16" s="67"/>
      <c r="N16" s="67"/>
      <c r="O16" s="67"/>
      <c r="P16" s="71"/>
      <c r="Q16" s="143"/>
      <c r="R16" s="45"/>
      <c r="S16" s="70"/>
      <c r="T16" s="67"/>
      <c r="U16" s="71"/>
      <c r="V16" s="143"/>
      <c r="W16" s="45"/>
      <c r="Y16" s="67"/>
      <c r="Z16" s="71"/>
      <c r="AA16" s="143"/>
      <c r="AB16" s="45"/>
      <c r="AC16" s="70"/>
      <c r="AE16" s="71"/>
      <c r="AF16" s="143"/>
      <c r="AG16" s="45"/>
      <c r="AJ16" s="71"/>
      <c r="AK16" s="143"/>
      <c r="AL16" s="45"/>
      <c r="AM16" s="70"/>
      <c r="AO16" s="71"/>
      <c r="AP16" s="143"/>
      <c r="AQ16" s="45"/>
    </row>
    <row r="17" spans="2:43" s="43" customFormat="1" ht="30" customHeight="1">
      <c r="B17" s="62" t="s">
        <v>25</v>
      </c>
      <c r="C17" s="73">
        <v>1</v>
      </c>
      <c r="D17" s="64">
        <v>6</v>
      </c>
      <c r="E17" s="65" t="s">
        <v>271</v>
      </c>
      <c r="F17" s="548">
        <v>20</v>
      </c>
      <c r="G17" s="66">
        <f>'A 1.6'!E17</f>
        <v>0</v>
      </c>
      <c r="H17" s="67"/>
      <c r="I17" s="67"/>
      <c r="J17" s="76"/>
      <c r="K17" s="67"/>
      <c r="L17" s="67"/>
      <c r="M17" s="67"/>
      <c r="N17" s="67"/>
      <c r="O17" s="67"/>
      <c r="P17" s="71"/>
      <c r="Q17" s="143"/>
      <c r="R17" s="45"/>
      <c r="S17" s="70"/>
      <c r="T17" s="67"/>
      <c r="U17" s="71"/>
      <c r="V17" s="143"/>
      <c r="W17" s="45"/>
      <c r="Y17" s="67"/>
      <c r="Z17" s="71"/>
      <c r="AA17" s="143"/>
      <c r="AB17" s="45"/>
      <c r="AC17" s="70"/>
      <c r="AE17" s="71"/>
      <c r="AF17" s="143"/>
      <c r="AG17" s="45"/>
      <c r="AJ17" s="71"/>
      <c r="AK17" s="143"/>
      <c r="AL17" s="45"/>
      <c r="AM17" s="70"/>
      <c r="AO17" s="71"/>
      <c r="AP17" s="143"/>
      <c r="AQ17" s="45"/>
    </row>
    <row r="18" spans="2:43" s="43" customFormat="1" ht="30" customHeight="1">
      <c r="B18" s="679" t="s">
        <v>25</v>
      </c>
      <c r="C18" s="680" t="s">
        <v>30</v>
      </c>
      <c r="D18" s="74">
        <v>7</v>
      </c>
      <c r="E18" s="681" t="s">
        <v>66</v>
      </c>
      <c r="F18" s="680">
        <v>10</v>
      </c>
      <c r="G18" s="682">
        <f>'A 1.7'!D9</f>
        <v>0</v>
      </c>
      <c r="H18" s="67"/>
      <c r="I18" s="67"/>
      <c r="J18" s="76"/>
      <c r="K18" s="67"/>
      <c r="L18" s="67"/>
      <c r="M18" s="67"/>
      <c r="N18" s="67"/>
      <c r="O18" s="67"/>
      <c r="P18" s="71"/>
      <c r="Q18" s="570"/>
      <c r="R18" s="45"/>
      <c r="S18" s="70"/>
      <c r="T18" s="67"/>
      <c r="U18" s="71"/>
      <c r="V18" s="570"/>
      <c r="W18" s="45"/>
      <c r="Y18" s="67"/>
      <c r="Z18" s="71"/>
      <c r="AA18" s="570"/>
      <c r="AB18" s="45"/>
      <c r="AC18" s="70"/>
      <c r="AE18" s="71"/>
      <c r="AF18" s="570"/>
      <c r="AG18" s="45"/>
      <c r="AJ18" s="71"/>
      <c r="AK18" s="570"/>
      <c r="AL18" s="45"/>
      <c r="AM18" s="70"/>
      <c r="AO18" s="71"/>
      <c r="AP18" s="570"/>
      <c r="AQ18" s="45"/>
    </row>
    <row r="19" spans="2:43" s="43" customFormat="1" ht="30" customHeight="1">
      <c r="B19" s="683" t="s">
        <v>25</v>
      </c>
      <c r="C19" s="684" t="s">
        <v>30</v>
      </c>
      <c r="D19" s="74">
        <v>8</v>
      </c>
      <c r="E19" s="685" t="s">
        <v>378</v>
      </c>
      <c r="F19" s="680">
        <v>30</v>
      </c>
      <c r="G19" s="682">
        <f>'A 1.8'!D7</f>
        <v>0</v>
      </c>
      <c r="H19" s="67">
        <v>20</v>
      </c>
      <c r="I19" s="67"/>
      <c r="J19" s="67"/>
      <c r="K19" s="67"/>
      <c r="L19" s="67"/>
      <c r="M19" s="78"/>
      <c r="N19" s="67"/>
      <c r="O19" s="67"/>
      <c r="P19" s="71"/>
      <c r="Q19" s="143"/>
      <c r="R19" s="45"/>
      <c r="S19" s="70"/>
      <c r="T19" s="67"/>
      <c r="U19" s="71"/>
      <c r="V19" s="143"/>
      <c r="W19" s="45"/>
      <c r="Y19" s="67"/>
      <c r="Z19" s="71"/>
      <c r="AA19" s="143"/>
      <c r="AB19" s="45"/>
      <c r="AC19" s="70"/>
      <c r="AE19" s="71"/>
      <c r="AF19" s="143"/>
      <c r="AG19" s="45"/>
      <c r="AJ19" s="71"/>
      <c r="AK19" s="143"/>
      <c r="AL19" s="45"/>
      <c r="AM19" s="70"/>
      <c r="AO19" s="71"/>
      <c r="AP19" s="143"/>
      <c r="AQ19" s="45"/>
    </row>
    <row r="20" spans="2:43" s="43" customFormat="1" ht="30" customHeight="1" thickBot="1">
      <c r="B20" s="550" t="s">
        <v>25</v>
      </c>
      <c r="C20" s="551">
        <v>1</v>
      </c>
      <c r="D20" s="686">
        <v>9</v>
      </c>
      <c r="E20" s="552" t="s">
        <v>31</v>
      </c>
      <c r="F20" s="79">
        <v>30</v>
      </c>
      <c r="G20" s="80">
        <v>0</v>
      </c>
      <c r="H20" s="67">
        <v>30</v>
      </c>
      <c r="I20" s="67"/>
      <c r="J20" s="76"/>
      <c r="K20" s="67"/>
      <c r="L20" s="67"/>
      <c r="M20" s="78">
        <v>0</v>
      </c>
      <c r="N20" s="67"/>
      <c r="O20" s="67"/>
      <c r="P20" s="71"/>
      <c r="Q20" s="571"/>
      <c r="R20" s="45"/>
      <c r="S20" s="70"/>
      <c r="T20" s="67"/>
      <c r="U20" s="71"/>
      <c r="V20" s="571"/>
      <c r="W20" s="45"/>
      <c r="Y20" s="67"/>
      <c r="Z20" s="71"/>
      <c r="AA20" s="571"/>
      <c r="AB20" s="45"/>
      <c r="AC20" s="70"/>
      <c r="AE20" s="71"/>
      <c r="AF20" s="571"/>
      <c r="AG20" s="45"/>
      <c r="AJ20" s="71"/>
      <c r="AK20" s="571"/>
      <c r="AL20" s="45"/>
      <c r="AM20" s="70"/>
      <c r="AO20" s="71"/>
      <c r="AP20" s="571"/>
      <c r="AQ20" s="45"/>
    </row>
    <row r="21" spans="2:43" ht="6" customHeight="1" thickBot="1">
      <c r="B21" s="15"/>
      <c r="C21" s="16"/>
      <c r="D21" s="81"/>
      <c r="E21" s="67"/>
      <c r="F21" s="82"/>
      <c r="G21" s="82"/>
      <c r="M21" s="78">
        <v>10</v>
      </c>
      <c r="Q21" s="83"/>
      <c r="R21" s="84"/>
      <c r="S21" s="85"/>
      <c r="V21" s="83"/>
      <c r="W21" s="84"/>
      <c r="AA21" s="83"/>
      <c r="AB21" s="84"/>
      <c r="AC21" s="85"/>
      <c r="AF21" s="83"/>
      <c r="AG21" s="84"/>
      <c r="AK21" s="83"/>
      <c r="AL21" s="84"/>
      <c r="AM21" s="85"/>
      <c r="AP21" s="83"/>
      <c r="AQ21" s="84"/>
    </row>
    <row r="22" spans="2:43" s="86" customFormat="1" ht="30" customHeight="1">
      <c r="B22" s="87" t="s">
        <v>32</v>
      </c>
      <c r="C22" s="88"/>
      <c r="D22" s="89"/>
      <c r="E22" s="90" t="s">
        <v>33</v>
      </c>
      <c r="F22" s="91">
        <v>450</v>
      </c>
      <c r="G22" s="92">
        <f>IF(G23&gt;G30,G23,G30)</f>
        <v>0</v>
      </c>
      <c r="H22" s="93" t="s">
        <v>16</v>
      </c>
      <c r="I22" s="94"/>
      <c r="J22" s="94"/>
      <c r="K22" s="94"/>
      <c r="L22" s="94"/>
      <c r="M22" s="94"/>
      <c r="N22" s="94"/>
      <c r="O22" s="94"/>
      <c r="P22" s="95"/>
      <c r="Q22" s="96"/>
      <c r="R22" s="97"/>
      <c r="S22" s="98"/>
      <c r="T22" s="94"/>
      <c r="U22" s="95"/>
      <c r="V22" s="96"/>
      <c r="W22" s="97"/>
      <c r="Y22" s="94"/>
      <c r="Z22" s="95"/>
      <c r="AA22" s="96"/>
      <c r="AB22" s="97"/>
      <c r="AC22" s="98"/>
      <c r="AE22" s="95"/>
      <c r="AF22" s="96"/>
      <c r="AG22" s="97"/>
      <c r="AJ22" s="95"/>
      <c r="AK22" s="96"/>
      <c r="AL22" s="97"/>
      <c r="AM22" s="98"/>
      <c r="AO22" s="95"/>
      <c r="AP22" s="96"/>
      <c r="AQ22" s="97"/>
    </row>
    <row r="23" spans="2:43" s="99" customFormat="1" ht="30" customHeight="1">
      <c r="B23" s="100" t="str">
        <f t="shared" ref="B23:B37" si="0">B$22</f>
        <v>B</v>
      </c>
      <c r="C23" s="101">
        <f t="shared" ref="C23:C37" si="1">C$30</f>
        <v>1</v>
      </c>
      <c r="D23" s="102"/>
      <c r="E23" s="103" t="s">
        <v>34</v>
      </c>
      <c r="F23" s="104">
        <v>450</v>
      </c>
      <c r="G23" s="105">
        <f>IF(SUM(G24:G29)&lt;450,SUM(G24:G29),450)</f>
        <v>0</v>
      </c>
      <c r="H23" s="93" t="s">
        <v>35</v>
      </c>
      <c r="I23" s="93"/>
      <c r="J23" s="93"/>
      <c r="K23" s="93"/>
      <c r="L23" s="93"/>
      <c r="M23" s="93"/>
      <c r="N23" s="93"/>
      <c r="O23" s="93"/>
      <c r="P23" s="106"/>
      <c r="Q23" s="107"/>
      <c r="R23" s="108"/>
      <c r="S23" s="109"/>
      <c r="T23" s="93"/>
      <c r="U23" s="106"/>
      <c r="V23" s="107"/>
      <c r="W23" s="108"/>
      <c r="Y23" s="93"/>
      <c r="Z23" s="106"/>
      <c r="AA23" s="107"/>
      <c r="AB23" s="108"/>
      <c r="AC23" s="109"/>
      <c r="AE23" s="106"/>
      <c r="AF23" s="107"/>
      <c r="AG23" s="108"/>
      <c r="AJ23" s="106"/>
      <c r="AK23" s="107"/>
      <c r="AL23" s="108"/>
      <c r="AM23" s="109"/>
      <c r="AO23" s="106"/>
      <c r="AP23" s="107"/>
      <c r="AQ23" s="108"/>
    </row>
    <row r="24" spans="2:43" s="43" customFormat="1" ht="30" customHeight="1">
      <c r="B24" s="62" t="str">
        <f t="shared" si="0"/>
        <v>B</v>
      </c>
      <c r="C24" s="63">
        <f t="shared" si="1"/>
        <v>1</v>
      </c>
      <c r="D24" s="64">
        <v>1</v>
      </c>
      <c r="E24" s="65" t="s">
        <v>36</v>
      </c>
      <c r="F24" s="44">
        <v>125</v>
      </c>
      <c r="G24" s="110">
        <f>IF(ISNUMBER('B1 '!B16),'B1 '!B16,0)</f>
        <v>0</v>
      </c>
      <c r="H24" s="67"/>
      <c r="I24" s="67"/>
      <c r="J24" s="67"/>
      <c r="K24" s="67"/>
      <c r="L24" s="67"/>
      <c r="M24" s="67"/>
      <c r="N24" s="67"/>
      <c r="O24" s="67"/>
      <c r="P24" s="71"/>
      <c r="Q24" s="111"/>
      <c r="R24" s="45"/>
      <c r="S24" s="70"/>
      <c r="T24" s="67"/>
      <c r="U24" s="71"/>
      <c r="V24" s="111"/>
      <c r="W24" s="45"/>
      <c r="Y24" s="67"/>
      <c r="Z24" s="71"/>
      <c r="AA24" s="111"/>
      <c r="AB24" s="45"/>
      <c r="AC24" s="70"/>
      <c r="AE24" s="71"/>
      <c r="AF24" s="111"/>
      <c r="AG24" s="45"/>
      <c r="AJ24" s="71"/>
      <c r="AK24" s="111"/>
      <c r="AL24" s="45"/>
      <c r="AM24" s="70"/>
      <c r="AO24" s="71"/>
      <c r="AP24" s="111"/>
      <c r="AQ24" s="45"/>
    </row>
    <row r="25" spans="2:43" s="43" customFormat="1" ht="30" customHeight="1">
      <c r="B25" s="62" t="s">
        <v>32</v>
      </c>
      <c r="C25" s="63" t="s">
        <v>30</v>
      </c>
      <c r="D25" s="64">
        <v>2</v>
      </c>
      <c r="E25" s="65" t="s">
        <v>37</v>
      </c>
      <c r="F25" s="44">
        <v>75</v>
      </c>
      <c r="G25" s="110">
        <f>IF(ISNUMBER('B1 '!B17),'B1 '!B17,0)</f>
        <v>0</v>
      </c>
      <c r="H25" s="67"/>
      <c r="I25" s="67"/>
      <c r="J25" s="67"/>
      <c r="K25" s="67"/>
      <c r="L25" s="67"/>
      <c r="M25" s="67"/>
      <c r="N25" s="67"/>
      <c r="O25" s="67"/>
      <c r="P25" s="71"/>
      <c r="Q25" s="111"/>
      <c r="R25" s="45"/>
      <c r="S25" s="70"/>
      <c r="T25" s="67"/>
      <c r="U25" s="71"/>
      <c r="V25" s="111"/>
      <c r="W25" s="45"/>
      <c r="Y25" s="67"/>
      <c r="Z25" s="71"/>
      <c r="AA25" s="111"/>
      <c r="AB25" s="45"/>
      <c r="AC25" s="70"/>
      <c r="AE25" s="71"/>
      <c r="AF25" s="111"/>
      <c r="AG25" s="45"/>
      <c r="AJ25" s="71"/>
      <c r="AK25" s="111"/>
      <c r="AL25" s="45"/>
      <c r="AM25" s="70"/>
      <c r="AO25" s="71"/>
      <c r="AP25" s="111"/>
      <c r="AQ25" s="45"/>
    </row>
    <row r="26" spans="2:43" s="43" customFormat="1" ht="30" customHeight="1">
      <c r="B26" s="62" t="str">
        <f t="shared" si="0"/>
        <v>B</v>
      </c>
      <c r="C26" s="63">
        <f t="shared" si="1"/>
        <v>1</v>
      </c>
      <c r="D26" s="64">
        <v>3</v>
      </c>
      <c r="E26" s="65" t="s">
        <v>38</v>
      </c>
      <c r="F26" s="44">
        <v>135</v>
      </c>
      <c r="G26" s="110">
        <f>IF(ISNUMBER('B1 '!B18),'B1 '!B18,0)</f>
        <v>0</v>
      </c>
      <c r="H26" s="67"/>
      <c r="I26" s="67"/>
      <c r="J26" s="67"/>
      <c r="K26" s="67"/>
      <c r="L26" s="67"/>
      <c r="M26" s="67"/>
      <c r="N26" s="67"/>
      <c r="O26" s="67"/>
      <c r="P26" s="71"/>
      <c r="Q26" s="111"/>
      <c r="R26" s="45"/>
      <c r="S26" s="70"/>
      <c r="T26" s="67"/>
      <c r="U26" s="71"/>
      <c r="V26" s="111"/>
      <c r="W26" s="45"/>
      <c r="Y26" s="67"/>
      <c r="Z26" s="71"/>
      <c r="AA26" s="111"/>
      <c r="AB26" s="45"/>
      <c r="AC26" s="70"/>
      <c r="AE26" s="71"/>
      <c r="AF26" s="111"/>
      <c r="AG26" s="45"/>
      <c r="AJ26" s="71"/>
      <c r="AK26" s="111"/>
      <c r="AL26" s="45"/>
      <c r="AM26" s="70"/>
      <c r="AO26" s="71"/>
      <c r="AP26" s="111"/>
      <c r="AQ26" s="45"/>
    </row>
    <row r="27" spans="2:43" s="43" customFormat="1" ht="30" customHeight="1">
      <c r="B27" s="62" t="str">
        <f t="shared" si="0"/>
        <v>B</v>
      </c>
      <c r="C27" s="63">
        <f t="shared" si="1"/>
        <v>1</v>
      </c>
      <c r="D27" s="64">
        <v>4</v>
      </c>
      <c r="E27" s="65" t="s">
        <v>39</v>
      </c>
      <c r="F27" s="44">
        <v>135</v>
      </c>
      <c r="G27" s="110">
        <f>IF(ISNUMBER('B1 '!B19),'B1 '!B19,0)</f>
        <v>0</v>
      </c>
      <c r="H27" s="67"/>
      <c r="I27" s="67"/>
      <c r="J27" s="67"/>
      <c r="K27" s="67"/>
      <c r="L27" s="67"/>
      <c r="M27" s="67"/>
      <c r="N27" s="67"/>
      <c r="O27" s="67"/>
      <c r="P27" s="71"/>
      <c r="Q27" s="111"/>
      <c r="R27" s="45"/>
      <c r="S27" s="70"/>
      <c r="T27" s="67"/>
      <c r="U27" s="71"/>
      <c r="V27" s="111"/>
      <c r="W27" s="45"/>
      <c r="Y27" s="67"/>
      <c r="Z27" s="71"/>
      <c r="AA27" s="111"/>
      <c r="AB27" s="45"/>
      <c r="AC27" s="70"/>
      <c r="AE27" s="71"/>
      <c r="AF27" s="111"/>
      <c r="AG27" s="45"/>
      <c r="AJ27" s="71"/>
      <c r="AK27" s="111"/>
      <c r="AL27" s="45"/>
      <c r="AM27" s="70"/>
      <c r="AO27" s="71"/>
      <c r="AP27" s="111"/>
      <c r="AQ27" s="45"/>
    </row>
    <row r="28" spans="2:43" s="43" customFormat="1" ht="30" customHeight="1">
      <c r="B28" s="62" t="str">
        <f t="shared" si="0"/>
        <v>B</v>
      </c>
      <c r="C28" s="63">
        <f t="shared" si="1"/>
        <v>1</v>
      </c>
      <c r="D28" s="64">
        <v>5</v>
      </c>
      <c r="E28" s="65" t="s">
        <v>40</v>
      </c>
      <c r="F28" s="44">
        <v>10</v>
      </c>
      <c r="G28" s="110">
        <f>IF(ISNUMBER('B 1.5'!B15),'B 1.5'!B15,0)</f>
        <v>0</v>
      </c>
      <c r="H28" s="67"/>
      <c r="I28" s="67"/>
      <c r="J28" s="67"/>
      <c r="K28" s="67"/>
      <c r="L28" s="67"/>
      <c r="M28" s="67"/>
      <c r="N28" s="67"/>
      <c r="O28" s="67"/>
      <c r="P28" s="71"/>
      <c r="Q28" s="111"/>
      <c r="R28" s="45"/>
      <c r="S28" s="70"/>
      <c r="T28" s="67"/>
      <c r="U28" s="71"/>
      <c r="V28" s="111"/>
      <c r="W28" s="45"/>
      <c r="Y28" s="67"/>
      <c r="Z28" s="71"/>
      <c r="AA28" s="111"/>
      <c r="AB28" s="45"/>
      <c r="AC28" s="70"/>
      <c r="AE28" s="71"/>
      <c r="AF28" s="111"/>
      <c r="AG28" s="45"/>
      <c r="AJ28" s="71"/>
      <c r="AK28" s="111"/>
      <c r="AL28" s="45"/>
      <c r="AM28" s="70"/>
      <c r="AO28" s="71"/>
      <c r="AP28" s="111"/>
      <c r="AQ28" s="45"/>
    </row>
    <row r="29" spans="2:43" s="43" customFormat="1" ht="30" customHeight="1">
      <c r="B29" s="62" t="str">
        <f t="shared" si="0"/>
        <v>B</v>
      </c>
      <c r="C29" s="63">
        <f t="shared" si="1"/>
        <v>1</v>
      </c>
      <c r="D29" s="64">
        <v>6</v>
      </c>
      <c r="E29" s="112" t="s">
        <v>41</v>
      </c>
      <c r="F29" s="44">
        <v>0</v>
      </c>
      <c r="G29" s="110">
        <v>0</v>
      </c>
      <c r="H29" s="67">
        <v>0</v>
      </c>
      <c r="I29" s="67"/>
      <c r="J29" s="67"/>
      <c r="K29" s="67"/>
      <c r="L29" s="67"/>
      <c r="M29" s="67"/>
      <c r="N29" s="67"/>
      <c r="O29" s="67"/>
      <c r="P29" s="71"/>
      <c r="Q29" s="111"/>
      <c r="R29" s="45"/>
      <c r="S29" s="70"/>
      <c r="T29" s="67"/>
      <c r="U29" s="71"/>
      <c r="V29" s="111"/>
      <c r="W29" s="45"/>
      <c r="Y29" s="67"/>
      <c r="Z29" s="71"/>
      <c r="AA29" s="111"/>
      <c r="AB29" s="45"/>
      <c r="AC29" s="70"/>
      <c r="AE29" s="71"/>
      <c r="AF29" s="111"/>
      <c r="AG29" s="45"/>
      <c r="AJ29" s="71"/>
      <c r="AK29" s="111"/>
      <c r="AL29" s="45"/>
      <c r="AM29" s="70"/>
      <c r="AO29" s="71"/>
      <c r="AP29" s="111"/>
      <c r="AQ29" s="45"/>
    </row>
    <row r="30" spans="2:43" s="99" customFormat="1" ht="30" customHeight="1">
      <c r="B30" s="553" t="s">
        <v>32</v>
      </c>
      <c r="C30" s="554">
        <v>1</v>
      </c>
      <c r="D30" s="555" t="s">
        <v>42</v>
      </c>
      <c r="E30" s="556" t="s">
        <v>43</v>
      </c>
      <c r="F30" s="557">
        <v>450</v>
      </c>
      <c r="G30" s="558">
        <f>IF(SUM(G31:G37)&lt;450,SUM(G31:G37),450)</f>
        <v>0</v>
      </c>
      <c r="H30" s="93">
        <v>10</v>
      </c>
      <c r="I30" s="93"/>
      <c r="J30" s="67"/>
      <c r="K30" s="93"/>
      <c r="L30" s="93"/>
      <c r="M30" s="93"/>
      <c r="N30" s="93"/>
      <c r="O30" s="93"/>
      <c r="P30" s="106"/>
      <c r="Q30" s="107"/>
      <c r="R30" s="108"/>
      <c r="S30" s="109"/>
      <c r="T30" s="93"/>
      <c r="U30" s="106"/>
      <c r="V30" s="107"/>
      <c r="W30" s="108"/>
      <c r="Y30" s="93"/>
      <c r="Z30" s="106"/>
      <c r="AA30" s="107"/>
      <c r="AB30" s="108"/>
      <c r="AC30" s="109"/>
      <c r="AE30" s="106"/>
      <c r="AF30" s="107"/>
      <c r="AG30" s="108"/>
      <c r="AJ30" s="106"/>
      <c r="AK30" s="107"/>
      <c r="AL30" s="108"/>
      <c r="AM30" s="109"/>
      <c r="AO30" s="106"/>
      <c r="AP30" s="107"/>
      <c r="AQ30" s="108"/>
    </row>
    <row r="31" spans="2:43" ht="30" customHeight="1">
      <c r="B31" s="559" t="str">
        <f t="shared" si="0"/>
        <v>B</v>
      </c>
      <c r="C31" s="560">
        <f t="shared" si="1"/>
        <v>1</v>
      </c>
      <c r="D31" s="561" t="s">
        <v>44</v>
      </c>
      <c r="E31" s="562" t="s">
        <v>275</v>
      </c>
      <c r="F31" s="563">
        <v>75</v>
      </c>
      <c r="G31" s="564">
        <f>IF(ISNUMBER('B1b '!B25),'B1b '!B25,0)</f>
        <v>0</v>
      </c>
      <c r="J31" s="67"/>
      <c r="P31" s="113"/>
      <c r="Q31" s="111"/>
      <c r="R31" s="84"/>
      <c r="S31" s="85"/>
      <c r="U31" s="113"/>
      <c r="V31" s="111"/>
      <c r="W31" s="84"/>
      <c r="Z31" s="113"/>
      <c r="AA31" s="111"/>
      <c r="AB31" s="84"/>
      <c r="AC31" s="85"/>
      <c r="AE31" s="113"/>
      <c r="AF31" s="111"/>
      <c r="AG31" s="84"/>
      <c r="AJ31" s="113"/>
      <c r="AK31" s="111"/>
      <c r="AL31" s="84"/>
      <c r="AM31" s="85"/>
      <c r="AO31" s="113"/>
      <c r="AP31" s="111"/>
      <c r="AQ31" s="84"/>
    </row>
    <row r="32" spans="2:43" ht="30" customHeight="1">
      <c r="B32" s="559" t="s">
        <v>32</v>
      </c>
      <c r="C32" s="560" t="s">
        <v>30</v>
      </c>
      <c r="D32" s="561" t="s">
        <v>45</v>
      </c>
      <c r="E32" s="562" t="s">
        <v>276</v>
      </c>
      <c r="F32" s="563">
        <v>75</v>
      </c>
      <c r="G32" s="564">
        <f>IF(ISNUMBER('B1b '!B26),'B1b '!B26,0)</f>
        <v>0</v>
      </c>
      <c r="J32" s="67"/>
      <c r="P32" s="113"/>
      <c r="Q32" s="111"/>
      <c r="R32" s="84"/>
      <c r="S32" s="85"/>
      <c r="U32" s="113"/>
      <c r="V32" s="111"/>
      <c r="W32" s="84"/>
      <c r="Z32" s="113"/>
      <c r="AA32" s="111"/>
      <c r="AB32" s="84"/>
      <c r="AC32" s="85"/>
      <c r="AE32" s="113"/>
      <c r="AF32" s="111"/>
      <c r="AG32" s="84"/>
      <c r="AJ32" s="113"/>
      <c r="AK32" s="111"/>
      <c r="AL32" s="84"/>
      <c r="AM32" s="85"/>
      <c r="AO32" s="113"/>
      <c r="AP32" s="111"/>
      <c r="AQ32" s="84"/>
    </row>
    <row r="33" spans="2:43" ht="30" customHeight="1">
      <c r="B33" s="559" t="s">
        <v>32</v>
      </c>
      <c r="C33" s="560" t="s">
        <v>30</v>
      </c>
      <c r="D33" s="561" t="s">
        <v>46</v>
      </c>
      <c r="E33" s="562" t="s">
        <v>277</v>
      </c>
      <c r="F33" s="563">
        <v>50</v>
      </c>
      <c r="G33" s="564">
        <f>IF(ISNUMBER('B1b '!B27),'B1b '!B27,0)</f>
        <v>0</v>
      </c>
      <c r="P33" s="113"/>
      <c r="Q33" s="111"/>
      <c r="R33" s="84"/>
      <c r="S33" s="85"/>
      <c r="U33" s="113"/>
      <c r="V33" s="111"/>
      <c r="W33" s="84"/>
      <c r="Z33" s="113"/>
      <c r="AA33" s="111"/>
      <c r="AB33" s="84"/>
      <c r="AC33" s="85"/>
      <c r="AE33" s="113"/>
      <c r="AF33" s="111"/>
      <c r="AG33" s="84"/>
      <c r="AJ33" s="113"/>
      <c r="AK33" s="111"/>
      <c r="AL33" s="84"/>
      <c r="AM33" s="85"/>
      <c r="AO33" s="113"/>
      <c r="AP33" s="111"/>
      <c r="AQ33" s="84"/>
    </row>
    <row r="34" spans="2:43" s="114" customFormat="1" ht="30" customHeight="1">
      <c r="B34" s="559" t="str">
        <f t="shared" si="0"/>
        <v>B</v>
      </c>
      <c r="C34" s="560">
        <f t="shared" si="1"/>
        <v>1</v>
      </c>
      <c r="D34" s="561" t="s">
        <v>47</v>
      </c>
      <c r="E34" s="562" t="s">
        <v>278</v>
      </c>
      <c r="F34" s="563">
        <v>135</v>
      </c>
      <c r="G34" s="564">
        <f>IF(ISNUMBER('B1b '!B28),'B1b '!B28,0)</f>
        <v>0</v>
      </c>
      <c r="H34" s="115"/>
      <c r="I34" s="115"/>
      <c r="J34" s="115"/>
      <c r="K34" s="115"/>
      <c r="L34" s="115"/>
      <c r="M34" s="115"/>
      <c r="N34" s="115"/>
      <c r="O34" s="115"/>
      <c r="P34" s="116"/>
      <c r="Q34" s="111"/>
      <c r="R34" s="117"/>
      <c r="S34" s="118"/>
      <c r="T34" s="115"/>
      <c r="U34" s="116"/>
      <c r="V34" s="111"/>
      <c r="W34" s="117"/>
      <c r="Y34" s="115"/>
      <c r="Z34" s="116"/>
      <c r="AA34" s="111"/>
      <c r="AB34" s="117"/>
      <c r="AC34" s="118"/>
      <c r="AE34" s="116"/>
      <c r="AF34" s="111"/>
      <c r="AG34" s="117"/>
      <c r="AJ34" s="116"/>
      <c r="AK34" s="111"/>
      <c r="AL34" s="117"/>
      <c r="AM34" s="118"/>
      <c r="AO34" s="116"/>
      <c r="AP34" s="111"/>
      <c r="AQ34" s="117"/>
    </row>
    <row r="35" spans="2:43" s="43" customFormat="1" ht="30" customHeight="1">
      <c r="B35" s="559" t="str">
        <f t="shared" si="0"/>
        <v>B</v>
      </c>
      <c r="C35" s="560">
        <f t="shared" si="1"/>
        <v>1</v>
      </c>
      <c r="D35" s="561" t="s">
        <v>48</v>
      </c>
      <c r="E35" s="562" t="s">
        <v>279</v>
      </c>
      <c r="F35" s="563">
        <v>135</v>
      </c>
      <c r="G35" s="564">
        <f>IF(ISNUMBER('B1b '!B29),'B1b '!B29,0)</f>
        <v>0</v>
      </c>
      <c r="H35" s="67"/>
      <c r="I35" s="67"/>
      <c r="J35" s="67"/>
      <c r="K35" s="67"/>
      <c r="L35" s="67"/>
      <c r="M35" s="67"/>
      <c r="N35" s="67"/>
      <c r="O35" s="67"/>
      <c r="P35" s="71"/>
      <c r="Q35" s="111"/>
      <c r="R35" s="45"/>
      <c r="S35" s="70"/>
      <c r="T35" s="67"/>
      <c r="U35" s="71"/>
      <c r="V35" s="111"/>
      <c r="W35" s="45"/>
      <c r="Y35" s="67"/>
      <c r="Z35" s="71"/>
      <c r="AA35" s="111"/>
      <c r="AB35" s="45"/>
      <c r="AC35" s="70"/>
      <c r="AE35" s="71"/>
      <c r="AF35" s="111"/>
      <c r="AG35" s="45"/>
      <c r="AJ35" s="71"/>
      <c r="AK35" s="111"/>
      <c r="AL35" s="45"/>
      <c r="AM35" s="70"/>
      <c r="AO35" s="71"/>
      <c r="AP35" s="111"/>
      <c r="AQ35" s="45"/>
    </row>
    <row r="36" spans="2:43" ht="30" customHeight="1">
      <c r="B36" s="559" t="str">
        <f t="shared" si="0"/>
        <v>B</v>
      </c>
      <c r="C36" s="560">
        <f t="shared" si="1"/>
        <v>1</v>
      </c>
      <c r="D36" s="561" t="s">
        <v>49</v>
      </c>
      <c r="E36" s="562" t="s">
        <v>40</v>
      </c>
      <c r="F36" s="563">
        <v>10</v>
      </c>
      <c r="G36" s="564">
        <f>IF(ISNUMBER('B 1.5'!B15),'B 1.5'!B15,0)</f>
        <v>0</v>
      </c>
      <c r="P36" s="113"/>
      <c r="Q36" s="111"/>
      <c r="R36" s="84"/>
      <c r="S36" s="85"/>
      <c r="U36" s="113"/>
      <c r="V36" s="111"/>
      <c r="W36" s="84"/>
      <c r="Z36" s="113"/>
      <c r="AA36" s="111"/>
      <c r="AB36" s="84"/>
      <c r="AC36" s="85"/>
      <c r="AE36" s="113"/>
      <c r="AF36" s="111"/>
      <c r="AG36" s="84"/>
      <c r="AJ36" s="113"/>
      <c r="AK36" s="111"/>
      <c r="AL36" s="84"/>
      <c r="AM36" s="85"/>
      <c r="AO36" s="113"/>
      <c r="AP36" s="111"/>
      <c r="AQ36" s="84"/>
    </row>
    <row r="37" spans="2:43" ht="30" customHeight="1" thickBot="1">
      <c r="B37" s="565" t="str">
        <f t="shared" si="0"/>
        <v>B</v>
      </c>
      <c r="C37" s="566">
        <f t="shared" si="1"/>
        <v>1</v>
      </c>
      <c r="D37" s="567" t="s">
        <v>50</v>
      </c>
      <c r="E37" s="568" t="s">
        <v>280</v>
      </c>
      <c r="F37" s="569">
        <v>0</v>
      </c>
      <c r="G37" s="612">
        <v>0</v>
      </c>
      <c r="H37" s="67"/>
      <c r="I37" s="67"/>
      <c r="J37" s="67"/>
      <c r="K37" s="67"/>
      <c r="L37" s="67"/>
      <c r="M37" s="67"/>
      <c r="N37" s="67"/>
      <c r="O37" s="67"/>
      <c r="P37" s="71"/>
      <c r="Q37" s="111"/>
      <c r="R37" s="84"/>
      <c r="S37" s="85"/>
      <c r="T37" s="67"/>
      <c r="U37" s="71"/>
      <c r="V37" s="111"/>
      <c r="W37" s="84"/>
      <c r="Y37" s="67"/>
      <c r="Z37" s="71"/>
      <c r="AA37" s="111"/>
      <c r="AB37" s="84"/>
      <c r="AC37" s="85"/>
      <c r="AE37" s="71"/>
      <c r="AF37" s="111"/>
      <c r="AG37" s="84"/>
      <c r="AJ37" s="71"/>
      <c r="AK37" s="111"/>
      <c r="AL37" s="84"/>
      <c r="AM37" s="85"/>
      <c r="AO37" s="71"/>
      <c r="AP37" s="111"/>
      <c r="AQ37" s="84"/>
    </row>
    <row r="38" spans="2:43" ht="6" customHeight="1" thickBot="1">
      <c r="B38" s="15"/>
      <c r="C38" s="16"/>
      <c r="D38" s="81"/>
      <c r="E38" s="67"/>
      <c r="F38" s="121"/>
      <c r="G38" s="83"/>
      <c r="Q38" s="83"/>
      <c r="R38" s="84"/>
      <c r="S38" s="85"/>
      <c r="V38" s="83"/>
      <c r="W38" s="84"/>
      <c r="AA38" s="83"/>
      <c r="AB38" s="84"/>
      <c r="AC38" s="85"/>
      <c r="AF38" s="83"/>
      <c r="AG38" s="84"/>
      <c r="AK38" s="83"/>
      <c r="AL38" s="84"/>
      <c r="AM38" s="85"/>
      <c r="AP38" s="83"/>
      <c r="AQ38" s="84"/>
    </row>
    <row r="39" spans="2:43" s="86" customFormat="1" ht="30" customHeight="1">
      <c r="B39" s="122" t="s">
        <v>51</v>
      </c>
      <c r="C39" s="123"/>
      <c r="D39" s="124"/>
      <c r="E39" s="125" t="s">
        <v>52</v>
      </c>
      <c r="F39" s="126">
        <v>125</v>
      </c>
      <c r="G39" s="127">
        <f>IF((G40+G43)&lt;125,(G40+G43),125)</f>
        <v>0</v>
      </c>
      <c r="H39" s="94"/>
      <c r="I39" s="94"/>
      <c r="J39" s="94"/>
      <c r="K39" s="94"/>
      <c r="L39" s="94"/>
      <c r="M39" s="94"/>
      <c r="N39" s="94"/>
      <c r="O39" s="94"/>
      <c r="P39" s="95"/>
      <c r="Q39" s="128"/>
      <c r="R39" s="97"/>
      <c r="S39" s="98"/>
      <c r="T39" s="94"/>
      <c r="U39" s="95"/>
      <c r="V39" s="128"/>
      <c r="W39" s="97"/>
      <c r="Y39" s="94"/>
      <c r="Z39" s="95"/>
      <c r="AA39" s="128"/>
      <c r="AB39" s="97"/>
      <c r="AC39" s="98"/>
      <c r="AE39" s="95"/>
      <c r="AF39" s="128"/>
      <c r="AG39" s="97"/>
      <c r="AJ39" s="95"/>
      <c r="AK39" s="128"/>
      <c r="AL39" s="97"/>
      <c r="AM39" s="98"/>
      <c r="AO39" s="95"/>
      <c r="AP39" s="128"/>
      <c r="AQ39" s="97"/>
    </row>
    <row r="40" spans="2:43" s="99" customFormat="1" ht="30" customHeight="1">
      <c r="B40" s="129" t="str">
        <f>B39</f>
        <v>C</v>
      </c>
      <c r="C40" s="130">
        <v>1</v>
      </c>
      <c r="D40" s="131"/>
      <c r="E40" s="132" t="s">
        <v>53</v>
      </c>
      <c r="F40" s="133">
        <v>75</v>
      </c>
      <c r="G40" s="134">
        <f>IF(SUM(G41:G42)&lt;75,SUM(G41:G42),75)</f>
        <v>0</v>
      </c>
      <c r="H40" s="93"/>
      <c r="I40" s="93"/>
      <c r="J40" s="93"/>
      <c r="K40" s="93"/>
      <c r="L40" s="93"/>
      <c r="M40" s="93"/>
      <c r="N40" s="93"/>
      <c r="O40" s="93"/>
      <c r="P40" s="106"/>
      <c r="Q40" s="135"/>
      <c r="R40" s="108"/>
      <c r="S40" s="109"/>
      <c r="T40" s="93"/>
      <c r="U40" s="106"/>
      <c r="V40" s="135"/>
      <c r="W40" s="108"/>
      <c r="Y40" s="93"/>
      <c r="Z40" s="106"/>
      <c r="AA40" s="135"/>
      <c r="AB40" s="108"/>
      <c r="AC40" s="109"/>
      <c r="AE40" s="106"/>
      <c r="AF40" s="135"/>
      <c r="AG40" s="108"/>
      <c r="AJ40" s="106"/>
      <c r="AK40" s="135"/>
      <c r="AL40" s="108"/>
      <c r="AM40" s="109"/>
      <c r="AO40" s="106"/>
      <c r="AP40" s="135"/>
      <c r="AQ40" s="108"/>
    </row>
    <row r="41" spans="2:43" ht="30" customHeight="1">
      <c r="B41" s="136" t="s">
        <v>51</v>
      </c>
      <c r="C41" s="137">
        <f>C$40</f>
        <v>1</v>
      </c>
      <c r="D41" s="138">
        <f>D39+1</f>
        <v>1</v>
      </c>
      <c r="E41" s="112" t="s">
        <v>54</v>
      </c>
      <c r="F41" s="44">
        <v>75</v>
      </c>
      <c r="G41" s="110">
        <f>'C 1.1'!C9</f>
        <v>0</v>
      </c>
      <c r="P41" s="113"/>
      <c r="Q41" s="111"/>
      <c r="R41" s="84"/>
      <c r="S41" s="85"/>
      <c r="U41" s="113"/>
      <c r="V41" s="111"/>
      <c r="W41" s="84"/>
      <c r="Z41" s="113"/>
      <c r="AA41" s="111"/>
      <c r="AB41" s="84"/>
      <c r="AC41" s="85"/>
      <c r="AE41" s="113"/>
      <c r="AF41" s="111"/>
      <c r="AG41" s="84"/>
      <c r="AJ41" s="113"/>
      <c r="AK41" s="111"/>
      <c r="AL41" s="84"/>
      <c r="AM41" s="85"/>
      <c r="AO41" s="113"/>
      <c r="AP41" s="111"/>
      <c r="AQ41" s="84"/>
    </row>
    <row r="42" spans="2:43" ht="30" customHeight="1" thickBot="1">
      <c r="B42" s="139" t="s">
        <v>51</v>
      </c>
      <c r="C42" s="140">
        <v>1</v>
      </c>
      <c r="D42" s="141">
        <v>2</v>
      </c>
      <c r="E42" s="119" t="s">
        <v>55</v>
      </c>
      <c r="F42" s="120">
        <v>10</v>
      </c>
      <c r="G42" s="142">
        <f>'C 1.2'!C6</f>
        <v>0</v>
      </c>
      <c r="P42" s="113"/>
      <c r="Q42" s="111"/>
      <c r="R42" s="84"/>
      <c r="S42" s="85"/>
      <c r="U42" s="113"/>
      <c r="V42" s="111"/>
      <c r="W42" s="84"/>
      <c r="Z42" s="113"/>
      <c r="AA42" s="111"/>
      <c r="AB42" s="84"/>
      <c r="AC42" s="85"/>
      <c r="AE42" s="113"/>
      <c r="AF42" s="111"/>
      <c r="AG42" s="84"/>
      <c r="AJ42" s="113"/>
      <c r="AK42" s="111"/>
      <c r="AL42" s="84"/>
      <c r="AM42" s="85"/>
      <c r="AO42" s="113"/>
      <c r="AP42" s="111"/>
      <c r="AQ42" s="84"/>
    </row>
    <row r="43" spans="2:43" s="99" customFormat="1" ht="30" customHeight="1">
      <c r="B43" s="129" t="s">
        <v>51</v>
      </c>
      <c r="C43" s="130">
        <v>2</v>
      </c>
      <c r="D43" s="131"/>
      <c r="E43" s="132" t="s">
        <v>56</v>
      </c>
      <c r="F43" s="133">
        <v>70</v>
      </c>
      <c r="G43" s="134">
        <f>IF(SUM(G44:G44)&lt;70,SUM(G44:G44),70)</f>
        <v>0</v>
      </c>
      <c r="H43" s="93"/>
      <c r="I43" s="93"/>
      <c r="J43" s="93"/>
      <c r="K43" s="93"/>
      <c r="L43" s="93"/>
      <c r="M43" s="93"/>
      <c r="N43" s="93"/>
      <c r="O43" s="93"/>
      <c r="P43" s="106"/>
      <c r="Q43" s="135"/>
      <c r="R43" s="108"/>
      <c r="S43" s="109"/>
      <c r="T43" s="93"/>
      <c r="U43" s="106"/>
      <c r="V43" s="135"/>
      <c r="W43" s="108"/>
      <c r="Y43" s="93"/>
      <c r="Z43" s="106"/>
      <c r="AA43" s="135"/>
      <c r="AB43" s="108"/>
      <c r="AC43" s="109"/>
      <c r="AE43" s="106"/>
      <c r="AF43" s="135"/>
      <c r="AG43" s="108"/>
      <c r="AJ43" s="106"/>
      <c r="AK43" s="135"/>
      <c r="AL43" s="108"/>
      <c r="AM43" s="109"/>
      <c r="AO43" s="106"/>
      <c r="AP43" s="135"/>
      <c r="AQ43" s="108"/>
    </row>
    <row r="44" spans="2:43" ht="30" customHeight="1" thickBot="1">
      <c r="B44" s="613" t="s">
        <v>51</v>
      </c>
      <c r="C44" s="140">
        <v>2</v>
      </c>
      <c r="D44" s="141">
        <v>1</v>
      </c>
      <c r="E44" s="119" t="s">
        <v>57</v>
      </c>
      <c r="F44" s="120">
        <v>70</v>
      </c>
      <c r="G44" s="614">
        <f>'C 2.1'!D14</f>
        <v>0</v>
      </c>
      <c r="P44" s="113"/>
      <c r="Q44" s="144"/>
      <c r="R44" s="84"/>
      <c r="S44" s="85"/>
      <c r="U44" s="113"/>
      <c r="V44" s="144"/>
      <c r="W44" s="84"/>
      <c r="Z44" s="113"/>
      <c r="AA44" s="144"/>
      <c r="AB44" s="84"/>
      <c r="AC44" s="85"/>
      <c r="AE44" s="113"/>
      <c r="AF44" s="144"/>
      <c r="AG44" s="84"/>
      <c r="AJ44" s="113"/>
      <c r="AK44" s="144"/>
      <c r="AL44" s="84"/>
      <c r="AM44" s="85"/>
      <c r="AO44" s="113"/>
      <c r="AP44" s="144"/>
      <c r="AQ44" s="84"/>
    </row>
    <row r="45" spans="2:43" ht="6" customHeight="1" thickBot="1">
      <c r="B45" s="10"/>
      <c r="C45" s="10"/>
      <c r="D45" s="10"/>
      <c r="E45" s="10"/>
      <c r="F45" s="10"/>
      <c r="G45" s="10"/>
      <c r="Q45" s="83"/>
      <c r="R45" s="84"/>
      <c r="S45" s="85"/>
      <c r="V45" s="83"/>
      <c r="W45" s="84"/>
      <c r="AA45" s="83"/>
      <c r="AB45" s="84"/>
      <c r="AC45" s="85"/>
      <c r="AF45" s="83"/>
      <c r="AG45" s="84"/>
      <c r="AK45" s="83"/>
      <c r="AL45" s="84"/>
      <c r="AM45" s="85"/>
      <c r="AP45" s="83"/>
      <c r="AQ45" s="84"/>
    </row>
    <row r="46" spans="2:43" s="86" customFormat="1" ht="30" customHeight="1">
      <c r="B46" s="145" t="s">
        <v>58</v>
      </c>
      <c r="C46" s="146"/>
      <c r="D46" s="147"/>
      <c r="E46" s="148" t="s">
        <v>59</v>
      </c>
      <c r="F46" s="149">
        <v>195</v>
      </c>
      <c r="G46" s="150">
        <f>IF((G47+G50)&lt;195,(G47+G50),195)</f>
        <v>0</v>
      </c>
      <c r="H46" s="151"/>
      <c r="I46" s="151"/>
      <c r="J46" s="151"/>
      <c r="K46" s="151"/>
      <c r="L46" s="151"/>
      <c r="M46" s="151"/>
      <c r="N46" s="151"/>
      <c r="O46" s="151"/>
      <c r="P46" s="151"/>
      <c r="Q46" s="152"/>
      <c r="R46" s="97"/>
      <c r="S46" s="98"/>
      <c r="T46" s="94"/>
      <c r="U46" s="95"/>
      <c r="V46" s="152"/>
      <c r="W46" s="97"/>
      <c r="Y46" s="94"/>
      <c r="Z46" s="95"/>
      <c r="AA46" s="152"/>
      <c r="AB46" s="97"/>
      <c r="AC46" s="98"/>
      <c r="AE46" s="95"/>
      <c r="AF46" s="152"/>
      <c r="AG46" s="97"/>
      <c r="AJ46" s="95"/>
      <c r="AK46" s="152"/>
      <c r="AL46" s="97"/>
      <c r="AM46" s="98"/>
      <c r="AO46" s="95"/>
      <c r="AP46" s="152"/>
      <c r="AQ46" s="97"/>
    </row>
    <row r="47" spans="2:43" s="99" customFormat="1" ht="30" customHeight="1">
      <c r="B47" s="153" t="s">
        <v>58</v>
      </c>
      <c r="C47" s="154">
        <v>1</v>
      </c>
      <c r="D47" s="155"/>
      <c r="E47" s="156" t="s">
        <v>60</v>
      </c>
      <c r="F47" s="157">
        <v>40</v>
      </c>
      <c r="G47" s="158">
        <f>IF(SUM(G48:G49)&lt;30,SUM(G48:G49),40)</f>
        <v>0</v>
      </c>
      <c r="H47" s="93"/>
      <c r="I47" s="93"/>
      <c r="J47" s="93"/>
      <c r="K47" s="93"/>
      <c r="L47" s="93"/>
      <c r="M47" s="93"/>
      <c r="N47" s="93"/>
      <c r="O47" s="93"/>
      <c r="P47" s="93"/>
      <c r="Q47" s="159"/>
      <c r="R47" s="108"/>
      <c r="S47" s="109"/>
      <c r="T47" s="151"/>
      <c r="U47" s="160"/>
      <c r="V47" s="159"/>
      <c r="W47" s="108"/>
      <c r="Y47" s="151"/>
      <c r="Z47" s="160"/>
      <c r="AA47" s="159"/>
      <c r="AB47" s="108"/>
      <c r="AC47" s="109"/>
      <c r="AE47" s="160"/>
      <c r="AF47" s="159"/>
      <c r="AG47" s="108"/>
      <c r="AJ47" s="160"/>
      <c r="AK47" s="159"/>
      <c r="AL47" s="108"/>
      <c r="AM47" s="109"/>
      <c r="AO47" s="160"/>
      <c r="AP47" s="159"/>
      <c r="AQ47" s="108"/>
    </row>
    <row r="48" spans="2:43" s="99" customFormat="1" ht="30" customHeight="1">
      <c r="B48" s="136" t="s">
        <v>58</v>
      </c>
      <c r="C48" s="137">
        <v>1</v>
      </c>
      <c r="D48" s="161" t="s">
        <v>61</v>
      </c>
      <c r="E48" s="777" t="s">
        <v>413</v>
      </c>
      <c r="F48" s="768">
        <v>30</v>
      </c>
      <c r="G48" s="66">
        <f>'D 1.1'!D17</f>
        <v>0</v>
      </c>
      <c r="H48" s="93"/>
      <c r="I48" s="93"/>
      <c r="J48" s="93"/>
      <c r="K48" s="93"/>
      <c r="L48" s="93"/>
      <c r="M48" s="93"/>
      <c r="N48" s="93"/>
      <c r="O48" s="93"/>
      <c r="P48" s="93"/>
      <c r="Q48" s="77"/>
      <c r="R48" s="108"/>
      <c r="S48" s="109"/>
      <c r="T48" s="93"/>
      <c r="U48" s="106"/>
      <c r="V48" s="77"/>
      <c r="W48" s="108"/>
      <c r="Y48" s="93"/>
      <c r="Z48" s="106"/>
      <c r="AA48" s="77"/>
      <c r="AB48" s="108"/>
      <c r="AC48" s="109"/>
      <c r="AE48" s="106"/>
      <c r="AF48" s="77"/>
      <c r="AG48" s="108"/>
      <c r="AJ48" s="106"/>
      <c r="AK48" s="77"/>
      <c r="AL48" s="108"/>
      <c r="AM48" s="109"/>
      <c r="AO48" s="106"/>
      <c r="AP48" s="77"/>
      <c r="AQ48" s="108"/>
    </row>
    <row r="49" spans="2:44" s="99" customFormat="1" ht="30" customHeight="1">
      <c r="B49" s="763" t="s">
        <v>58</v>
      </c>
      <c r="C49" s="764" t="s">
        <v>30</v>
      </c>
      <c r="D49" s="765" t="s">
        <v>405</v>
      </c>
      <c r="E49" s="766" t="s">
        <v>406</v>
      </c>
      <c r="F49" s="767">
        <v>10</v>
      </c>
      <c r="G49" s="682">
        <f>'D 1.2'!C6</f>
        <v>0</v>
      </c>
      <c r="H49" s="93"/>
      <c r="I49" s="93"/>
      <c r="J49" s="93"/>
      <c r="K49" s="93"/>
      <c r="L49" s="93"/>
      <c r="M49" s="93"/>
      <c r="N49" s="93"/>
      <c r="O49" s="93"/>
      <c r="P49" s="93"/>
      <c r="Q49" s="77"/>
      <c r="R49" s="108"/>
      <c r="S49" s="109"/>
      <c r="T49" s="93"/>
      <c r="U49" s="106"/>
      <c r="V49" s="77"/>
      <c r="W49" s="108"/>
      <c r="Y49" s="93"/>
      <c r="Z49" s="106"/>
      <c r="AA49" s="77"/>
      <c r="AB49" s="108"/>
      <c r="AC49" s="109"/>
      <c r="AE49" s="106"/>
      <c r="AF49" s="77"/>
      <c r="AG49" s="108"/>
      <c r="AJ49" s="106"/>
      <c r="AK49" s="77"/>
      <c r="AL49" s="108"/>
      <c r="AM49" s="109"/>
      <c r="AO49" s="106"/>
      <c r="AP49" s="77"/>
      <c r="AQ49" s="108"/>
    </row>
    <row r="50" spans="2:44" s="99" customFormat="1" ht="30" customHeight="1">
      <c r="B50" s="153" t="str">
        <f t="shared" ref="B50:B51" si="2">B$46</f>
        <v>D</v>
      </c>
      <c r="C50" s="154">
        <v>2</v>
      </c>
      <c r="D50" s="155"/>
      <c r="E50" s="156" t="s">
        <v>63</v>
      </c>
      <c r="F50" s="157">
        <v>175</v>
      </c>
      <c r="G50" s="162">
        <f>IF(SUM(G51:G52)&lt;175,SUM(G51:G52),175)</f>
        <v>0</v>
      </c>
      <c r="H50" s="14"/>
      <c r="I50" s="14"/>
      <c r="J50" s="14"/>
      <c r="K50" s="14"/>
      <c r="L50" s="14"/>
      <c r="M50" s="14"/>
      <c r="N50" s="14"/>
      <c r="O50" s="14"/>
      <c r="P50" s="14"/>
      <c r="Q50" s="163"/>
      <c r="R50" s="108"/>
      <c r="S50" s="109"/>
      <c r="T50" s="93"/>
      <c r="U50" s="106"/>
      <c r="V50" s="163"/>
      <c r="W50" s="108"/>
      <c r="Y50" s="93"/>
      <c r="Z50" s="106"/>
      <c r="AA50" s="163"/>
      <c r="AB50" s="108"/>
      <c r="AC50" s="109"/>
      <c r="AE50" s="106"/>
      <c r="AF50" s="163"/>
      <c r="AG50" s="108"/>
      <c r="AJ50" s="106"/>
      <c r="AK50" s="163"/>
      <c r="AL50" s="108"/>
      <c r="AM50" s="109"/>
      <c r="AO50" s="106"/>
      <c r="AP50" s="163"/>
      <c r="AQ50" s="108"/>
    </row>
    <row r="51" spans="2:44" ht="30" customHeight="1">
      <c r="B51" s="136" t="str">
        <f t="shared" si="2"/>
        <v>D</v>
      </c>
      <c r="C51" s="164">
        <v>2</v>
      </c>
      <c r="D51" s="165">
        <v>1</v>
      </c>
      <c r="E51" s="166" t="s">
        <v>64</v>
      </c>
      <c r="F51" s="44">
        <v>140</v>
      </c>
      <c r="G51" s="66">
        <f>'D 2.1'!B5</f>
        <v>0</v>
      </c>
      <c r="Q51" s="167"/>
      <c r="R51" s="84"/>
      <c r="S51" s="85"/>
      <c r="U51" s="113"/>
      <c r="V51" s="167"/>
      <c r="W51" s="84"/>
      <c r="Z51" s="113"/>
      <c r="AA51" s="167"/>
      <c r="AB51" s="84"/>
      <c r="AC51" s="85"/>
      <c r="AE51" s="113"/>
      <c r="AF51" s="167"/>
      <c r="AG51" s="84"/>
      <c r="AJ51" s="113"/>
      <c r="AK51" s="167"/>
      <c r="AL51" s="84"/>
      <c r="AM51" s="85"/>
      <c r="AO51" s="113"/>
      <c r="AP51" s="167"/>
      <c r="AQ51" s="84"/>
    </row>
    <row r="52" spans="2:44" ht="30" customHeight="1" thickBot="1">
      <c r="B52" s="139" t="str">
        <f>B$43</f>
        <v>C</v>
      </c>
      <c r="C52" s="140">
        <v>2</v>
      </c>
      <c r="D52" s="141">
        <v>2</v>
      </c>
      <c r="E52" s="168" t="s">
        <v>416</v>
      </c>
      <c r="F52" s="169">
        <v>50</v>
      </c>
      <c r="G52" s="170">
        <f>'D 2.2'!B5</f>
        <v>0</v>
      </c>
      <c r="Q52" s="171"/>
      <c r="R52" s="172"/>
      <c r="V52" s="171"/>
      <c r="W52" s="173"/>
      <c r="X52" s="85"/>
      <c r="AA52" s="171"/>
      <c r="AB52" s="172"/>
      <c r="AF52" s="171"/>
      <c r="AG52" s="173"/>
      <c r="AH52" s="85"/>
      <c r="AK52" s="171"/>
      <c r="AL52" s="172"/>
      <c r="AP52" s="171"/>
      <c r="AQ52" s="173"/>
      <c r="AR52" s="85"/>
    </row>
    <row r="53" spans="2:44" ht="30" customHeight="1" thickBot="1">
      <c r="B53" s="15"/>
      <c r="C53" s="16"/>
      <c r="D53" s="28"/>
      <c r="E53" s="174" t="s">
        <v>17</v>
      </c>
      <c r="F53" s="175">
        <v>1000</v>
      </c>
      <c r="G53" s="176"/>
      <c r="Q53" s="177"/>
      <c r="R53" s="173"/>
      <c r="V53" s="178"/>
      <c r="W53" s="173"/>
      <c r="AA53" s="178"/>
      <c r="AB53" s="173"/>
      <c r="AF53" s="178"/>
      <c r="AG53" s="173"/>
      <c r="AK53" s="178"/>
      <c r="AL53" s="173"/>
      <c r="AP53" s="178"/>
      <c r="AQ53" s="173"/>
    </row>
    <row r="54" spans="2:44" ht="15.75">
      <c r="B54" s="15"/>
      <c r="C54" s="16"/>
      <c r="D54" s="28"/>
      <c r="E54" s="179"/>
      <c r="F54" s="15"/>
    </row>
    <row r="55" spans="2:44" ht="15.75">
      <c r="E55" s="179"/>
    </row>
    <row r="56" spans="2:44" ht="15.75">
      <c r="E56" s="179"/>
    </row>
    <row r="57" spans="2:44" ht="15.75">
      <c r="E57" s="179"/>
    </row>
    <row r="58" spans="2:44" ht="15.75">
      <c r="E58" s="179"/>
    </row>
    <row r="59" spans="2:44" ht="15.75">
      <c r="E59" s="179"/>
    </row>
  </sheetData>
  <mergeCells count="15">
    <mergeCell ref="AD3:AD4"/>
    <mergeCell ref="AI3:AI4"/>
    <mergeCell ref="AN3:AN4"/>
    <mergeCell ref="E1:G1"/>
    <mergeCell ref="E7:G7"/>
    <mergeCell ref="J3:J7"/>
    <mergeCell ref="K3:M7"/>
    <mergeCell ref="O3:O4"/>
    <mergeCell ref="T3:T4"/>
    <mergeCell ref="Y3:Y4"/>
    <mergeCell ref="B9:D10"/>
    <mergeCell ref="E9:E10"/>
    <mergeCell ref="F8:G8"/>
    <mergeCell ref="C3:G3"/>
    <mergeCell ref="B5:D5"/>
  </mergeCells>
  <conditionalFormatting sqref="B24:E27 D44 B48:D48 B36:D37 B35:E35 B28:D29 A41:D41 A31:E34 G23 B23:D23 T29 T41:T42 T51:T52 Y51:Y52 Y41:Y42 Y29 AD41:AD42 AD51:AD52 AI51:AI52 AI41:AI42 AN41:AN42 AN51:AN52 AR51:IU52 AR41:IU42 H50:P51 H41:P42 H12:I12 K12:P12 F44 F41 F51 A35:A38 T31:T38 Y31:Y38 AD31:AD38 AI31:AI38 AN31:AN38 AR31:IU38 F31:F36 H31:P38 C38:G38 H29:P29 G30 F24:F29 A42 A52 A51:D51 T12:T20 Y12:Y20 AD13:AD20 H13:P20 AI12:AI20 AN12:AN20 AR12:IU20 A12:F16 A20:C20 A17:A19 B17:C17 E17:F17 E20:F20 D17:D20">
    <cfRule type="expression" dxfId="24" priority="34" stopIfTrue="1">
      <formula>#REF!="n"</formula>
    </cfRule>
  </conditionalFormatting>
  <conditionalFormatting sqref="F37">
    <cfRule type="expression" dxfId="23" priority="24" stopIfTrue="1">
      <formula>#REF!="n"</formula>
    </cfRule>
  </conditionalFormatting>
  <conditionalFormatting sqref="R41:S42 R51:S52 R31:S38 R12:S20">
    <cfRule type="expression" dxfId="22" priority="23" stopIfTrue="1">
      <formula>#REF!="n"</formula>
    </cfRule>
  </conditionalFormatting>
  <conditionalFormatting sqref="Q38 Q23 Q30 F52 W31:X38 AB31:AC38 AG31:AH38 AL31:AM38 AQ31:AQ38 U31:U38 Z31:Z38 AE31:AE38 AJ31:AJ38 AO31:AO38 W12:X20 AB12:AC20 AG12:AH20 AL12:AM20 AQ12:AQ20 U12:U20 Z12:Z20 AE12:AE20 AJ12:AJ20 AO12:AO20">
    <cfRule type="expression" dxfId="21" priority="22" stopIfTrue="1">
      <formula>#REF!="n"</formula>
    </cfRule>
  </conditionalFormatting>
  <conditionalFormatting sqref="W41:X42 W51:X52">
    <cfRule type="expression" dxfId="20" priority="21" stopIfTrue="1">
      <formula>#REF!="n"</formula>
    </cfRule>
  </conditionalFormatting>
  <conditionalFormatting sqref="V38 V23 V30">
    <cfRule type="expression" dxfId="19" priority="20" stopIfTrue="1">
      <formula>#REF!="n"</formula>
    </cfRule>
  </conditionalFormatting>
  <conditionalFormatting sqref="AP38 AP23 AP30">
    <cfRule type="expression" dxfId="18" priority="12" stopIfTrue="1">
      <formula>#REF!="n"</formula>
    </cfRule>
  </conditionalFormatting>
  <conditionalFormatting sqref="AB41:AC42 AB51:AC52">
    <cfRule type="expression" dxfId="17" priority="19" stopIfTrue="1">
      <formula>#REF!="n"</formula>
    </cfRule>
  </conditionalFormatting>
  <conditionalFormatting sqref="AA38 AA23 AA30">
    <cfRule type="expression" dxfId="16" priority="18" stopIfTrue="1">
      <formula>#REF!="n"</formula>
    </cfRule>
  </conditionalFormatting>
  <conditionalFormatting sqref="AG41:AH42 AG51:AH52">
    <cfRule type="expression" dxfId="15" priority="17" stopIfTrue="1">
      <formula>#REF!="n"</formula>
    </cfRule>
  </conditionalFormatting>
  <conditionalFormatting sqref="AF38 AF23 AF30">
    <cfRule type="expression" dxfId="14" priority="16" stopIfTrue="1">
      <formula>#REF!="n"</formula>
    </cfRule>
  </conditionalFormatting>
  <conditionalFormatting sqref="AL41:AM42 AL51:AM52">
    <cfRule type="expression" dxfId="13" priority="15" stopIfTrue="1">
      <formula>#REF!="n"</formula>
    </cfRule>
  </conditionalFormatting>
  <conditionalFormatting sqref="AK38 AK23 AK30">
    <cfRule type="expression" dxfId="12" priority="14" stopIfTrue="1">
      <formula>#REF!="n"</formula>
    </cfRule>
  </conditionalFormatting>
  <conditionalFormatting sqref="AQ41:AQ42 AQ51:AQ52">
    <cfRule type="expression" dxfId="11" priority="13" stopIfTrue="1">
      <formula>#REF!="n"</formula>
    </cfRule>
  </conditionalFormatting>
  <conditionalFormatting sqref="U51:U52 U41:U42 U29">
    <cfRule type="expression" dxfId="10" priority="11" stopIfTrue="1">
      <formula>#REF!="n"</formula>
    </cfRule>
  </conditionalFormatting>
  <conditionalFormatting sqref="Z51:Z52 Z41:Z42 Z29">
    <cfRule type="expression" dxfId="9" priority="10" stopIfTrue="1">
      <formula>#REF!="n"</formula>
    </cfRule>
  </conditionalFormatting>
  <conditionalFormatting sqref="AE51:AE52 AE41:AE42 AE29">
    <cfRule type="expression" dxfId="8" priority="9" stopIfTrue="1">
      <formula>#REF!="n"</formula>
    </cfRule>
  </conditionalFormatting>
  <conditionalFormatting sqref="AJ51:AJ52 AJ41:AJ42 AJ29">
    <cfRule type="expression" dxfId="7" priority="8" stopIfTrue="1">
      <formula>#REF!="n"</formula>
    </cfRule>
  </conditionalFormatting>
  <conditionalFormatting sqref="AO51:AO52 AO41:AO42 AO29">
    <cfRule type="expression" dxfId="6" priority="7" stopIfTrue="1">
      <formula>#REF!="n"</formula>
    </cfRule>
  </conditionalFormatting>
  <conditionalFormatting sqref="J12">
    <cfRule type="expression" dxfId="5" priority="6" stopIfTrue="1">
      <formula>#REF!="n"</formula>
    </cfRule>
  </conditionalFormatting>
  <conditionalFormatting sqref="B52:D52">
    <cfRule type="expression" dxfId="4" priority="5" stopIfTrue="1">
      <formula>#REF!="n"</formula>
    </cfRule>
  </conditionalFormatting>
  <conditionalFormatting sqref="J30">
    <cfRule type="expression" dxfId="3" priority="4" stopIfTrue="1">
      <formula>#REF!="n"</formula>
    </cfRule>
  </conditionalFormatting>
  <conditionalFormatting sqref="D42 F42">
    <cfRule type="expression" dxfId="2" priority="3" stopIfTrue="1">
      <formula>#REF!="n"</formula>
    </cfRule>
  </conditionalFormatting>
  <conditionalFormatting sqref="B18:C19 E18:F19">
    <cfRule type="expression" dxfId="1" priority="2" stopIfTrue="1">
      <formula>#REF!="n"</formula>
    </cfRule>
  </conditionalFormatting>
  <conditionalFormatting sqref="B49:D49">
    <cfRule type="expression" dxfId="0" priority="1" stopIfTrue="1">
      <formula>#REF!="n"</formula>
    </cfRule>
  </conditionalFormatting>
  <dataValidations xWindow="892" yWindow="641" count="3">
    <dataValidation type="list" allowBlank="1" showInputMessage="1" showErrorMessage="1" errorTitle="Falscher Wert!" error="Bitte geben Sie die Zahl 0, 5, 10 oder 15 ein." prompt="Kein Wirtschaftlichkeitskriterium erfüllt (0 Punkte)_x000a_Ein Wirtschaftlichkeitskriterium erfüllt (5 Punkte)_x000a_Zwei Wirtschaftlichkeitskriterien erfüllt (10 Punkte)" sqref="G12">
      <formula1>$H$12:$H$13</formula1>
    </dataValidation>
    <dataValidation type="list" allowBlank="1" showInputMessage="1" showErrorMessage="1" sqref="E5">
      <formula1>$H$22:$H$23</formula1>
    </dataValidation>
    <dataValidation type="list" allowBlank="1" showInputMessage="1" showErrorMessage="1" prompt="Ziel nicht erreicht (0 Punkte)_x000a_&gt; 750 Punkte (20 Punkte)_x000a_+ 10 Punkte Bonus_x000a_" sqref="G20">
      <formula1>$H$19:$H$20</formula1>
    </dataValidation>
  </dataValidations>
  <pageMargins left="0.59055118110236238" right="0.59055118110236238" top="0.59055118110236238" bottom="0.59055118110236238" header="0.31496062992125984" footer="0.31496062992125984"/>
  <pageSetup paperSize="9" scale="54" fitToWidth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workbookViewId="0">
      <selection activeCell="C5" sqref="C5"/>
    </sheetView>
  </sheetViews>
  <sheetFormatPr baseColWidth="10" defaultColWidth="11.42578125" defaultRowHeight="12.75"/>
  <cols>
    <col min="1" max="1" width="88.42578125" style="761" customWidth="1"/>
    <col min="2" max="2" width="11.42578125" style="762"/>
    <col min="3" max="3" width="11.42578125" style="761" customWidth="1"/>
    <col min="4" max="4" width="11.42578125" style="761" hidden="1" customWidth="1"/>
    <col min="5" max="5" width="30.7109375" style="761" customWidth="1"/>
    <col min="6" max="16384" width="11.42578125" style="761"/>
  </cols>
  <sheetData>
    <row r="1" spans="1:5" s="730" customFormat="1" ht="24.95" customHeight="1">
      <c r="A1" s="916" t="s">
        <v>407</v>
      </c>
      <c r="B1" s="917"/>
      <c r="C1" s="917"/>
      <c r="D1" s="917"/>
    </row>
    <row r="2" spans="1:5" s="734" customFormat="1" ht="7.5" customHeight="1" thickBot="1">
      <c r="A2" s="690"/>
      <c r="B2" s="732"/>
      <c r="C2" s="732"/>
      <c r="D2" s="733"/>
    </row>
    <row r="3" spans="1:5" s="734" customFormat="1" ht="38.25">
      <c r="A3" s="769" t="s">
        <v>68</v>
      </c>
      <c r="B3" s="735" t="s">
        <v>227</v>
      </c>
      <c r="C3" s="736" t="s">
        <v>70</v>
      </c>
      <c r="D3" s="734">
        <v>0</v>
      </c>
      <c r="E3" s="737" t="s">
        <v>24</v>
      </c>
    </row>
    <row r="4" spans="1:5" s="734" customFormat="1" ht="24.95" customHeight="1">
      <c r="A4" s="770" t="s">
        <v>408</v>
      </c>
      <c r="B4" s="751">
        <v>7</v>
      </c>
      <c r="C4" s="704"/>
      <c r="D4" s="734">
        <v>7</v>
      </c>
      <c r="E4" s="752"/>
    </row>
    <row r="5" spans="1:5" s="734" customFormat="1" ht="24.95" customHeight="1">
      <c r="A5" s="771" t="s">
        <v>409</v>
      </c>
      <c r="B5" s="751">
        <v>3</v>
      </c>
      <c r="C5" s="756"/>
      <c r="D5" s="734">
        <v>0</v>
      </c>
      <c r="E5" s="752"/>
    </row>
    <row r="6" spans="1:5" s="759" customFormat="1" ht="24.95" customHeight="1" thickBot="1">
      <c r="A6" s="727" t="s">
        <v>67</v>
      </c>
      <c r="B6" s="757"/>
      <c r="C6" s="758">
        <f>IF(SUM(C4:C5)&lt;10, SUM(C4:C5),10)</f>
        <v>0</v>
      </c>
      <c r="D6" s="759">
        <v>3</v>
      </c>
      <c r="E6" s="760"/>
    </row>
  </sheetData>
  <sheetProtection algorithmName="SHA-512" hashValue="vzi27rjINXuMr1LdcGlh0VpUuuq+Z6ruJI7YXAcB5Eu/sQUHXWhQAb47WLPdOGVNhTfLWA883sTJManEPt+8Sg==" saltValue="Z/gfgtMhaax8t/A/lLZHwA==" spinCount="100000" sheet="1" selectLockedCell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>
      <formula1>$D$3:$D$4</formula1>
    </dataValidation>
    <dataValidation type="list" allowBlank="1" showInputMessage="1" showErrorMessage="1" errorTitle="Falscher Wert!" error="Bitte geben Sie die Zahl 0 oder 5 ein." sqref="C5">
      <formula1>$D$5:$D$6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D6"/>
  <sheetViews>
    <sheetView showGridLines="0" workbookViewId="0">
      <selection activeCell="B5" sqref="B5"/>
    </sheetView>
  </sheetViews>
  <sheetFormatPr baseColWidth="10" defaultColWidth="11.42578125" defaultRowHeight="12.75"/>
  <cols>
    <col min="1" max="1" width="61.7109375" style="180" customWidth="1"/>
    <col min="2" max="2" width="23.85546875" style="180" customWidth="1"/>
    <col min="3" max="3" width="30.7109375" style="531" customWidth="1"/>
    <col min="4" max="4" width="2.7109375" style="180" customWidth="1"/>
    <col min="5" max="16384" width="11.42578125" style="180"/>
  </cols>
  <sheetData>
    <row r="1" spans="1:4" ht="23.1" customHeight="1">
      <c r="A1" s="845" t="s">
        <v>261</v>
      </c>
      <c r="B1" s="845"/>
      <c r="C1" s="522"/>
      <c r="D1" s="211"/>
    </row>
    <row r="2" spans="1:4" ht="15" customHeight="1">
      <c r="A2" s="532"/>
      <c r="B2" s="182"/>
    </row>
    <row r="3" spans="1:4" s="184" customFormat="1" ht="23.1" customHeight="1">
      <c r="A3" s="533" t="s">
        <v>68</v>
      </c>
      <c r="B3" s="534" t="s">
        <v>23</v>
      </c>
      <c r="C3" s="535" t="s">
        <v>24</v>
      </c>
    </row>
    <row r="4" spans="1:4" s="184" customFormat="1" ht="23.1" customHeight="1">
      <c r="A4" s="536" t="s">
        <v>262</v>
      </c>
      <c r="B4" s="537"/>
      <c r="C4" s="538"/>
    </row>
    <row r="5" spans="1:4" s="188" customFormat="1" ht="23.1" customHeight="1">
      <c r="A5" s="539" t="str">
        <f>IF(ISTEXT(Punktevergabe!E5),CONCATENATE("Punkte ", (Punktevergabe!E5),""))</f>
        <v>Punkte Neubau</v>
      </c>
      <c r="B5" s="540">
        <f>IF(B4="",0,IF(B4&lt;=300,140,IF(B4&gt;900,0,140+(0-140)/(900-300)*(B4-300))))</f>
        <v>0</v>
      </c>
      <c r="C5" s="541"/>
    </row>
    <row r="6" spans="1:4">
      <c r="A6" s="542"/>
    </row>
  </sheetData>
  <mergeCells count="1">
    <mergeCell ref="A1:B1"/>
  </mergeCells>
  <pageMargins left="0.59055118110236238" right="0.59055118110236238" top="0.59055118110236238" bottom="0.59055118110236238" header="0.31496062992125984" footer="0.31496062992125984"/>
  <pageSetup paperSize="9" orientation="landscape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D6"/>
  <sheetViews>
    <sheetView showGridLines="0" workbookViewId="0">
      <selection activeCell="C13" sqref="C13"/>
    </sheetView>
  </sheetViews>
  <sheetFormatPr baseColWidth="10" defaultColWidth="11.42578125" defaultRowHeight="12.75"/>
  <cols>
    <col min="1" max="1" width="61.7109375" style="180" customWidth="1"/>
    <col min="2" max="2" width="23.85546875" style="180" customWidth="1"/>
    <col min="3" max="3" width="30.7109375" style="531" customWidth="1"/>
    <col min="4" max="4" width="2.7109375" style="180" customWidth="1"/>
    <col min="5" max="16384" width="11.42578125" style="180"/>
  </cols>
  <sheetData>
    <row r="1" spans="1:4" ht="23.1" customHeight="1">
      <c r="A1" s="845" t="s">
        <v>263</v>
      </c>
      <c r="B1" s="845"/>
      <c r="C1" s="522"/>
      <c r="D1" s="211"/>
    </row>
    <row r="2" spans="1:4" ht="15" customHeight="1">
      <c r="A2" s="532"/>
      <c r="B2" s="182"/>
    </row>
    <row r="3" spans="1:4" s="184" customFormat="1" ht="23.1" customHeight="1">
      <c r="A3" s="543" t="s">
        <v>68</v>
      </c>
      <c r="B3" s="544" t="s">
        <v>23</v>
      </c>
      <c r="C3" s="538" t="s">
        <v>24</v>
      </c>
    </row>
    <row r="4" spans="1:4" s="184" customFormat="1" ht="23.1" customHeight="1">
      <c r="A4" s="545" t="s">
        <v>264</v>
      </c>
      <c r="B4" s="546"/>
      <c r="C4" s="207"/>
    </row>
    <row r="5" spans="1:4" s="188" customFormat="1" ht="23.1" customHeight="1">
      <c r="A5" s="539" t="str">
        <f>IF(ISTEXT(Punktevergabe!E5),CONCATENATE("Punkte ", (Punktevergabe!E5),""))</f>
        <v>Punkte Neubau</v>
      </c>
      <c r="B5" s="540">
        <f>IF(B4="",0,IF(B4&lt;=1,50,IF(B4&gt;3,0,-25*B4+75)))</f>
        <v>0</v>
      </c>
      <c r="C5" s="541"/>
    </row>
    <row r="6" spans="1:4">
      <c r="A6" s="547"/>
    </row>
  </sheetData>
  <mergeCells count="1">
    <mergeCell ref="A1:B1"/>
  </mergeCells>
  <pageMargins left="0.59055118110236238" right="0.59055118110236238" top="0.59055118110236238" bottom="0.59055118110236238" header="0.31496062992125984" footer="0.31496062992125984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H28"/>
  <sheetViews>
    <sheetView showGridLines="0" workbookViewId="0">
      <selection activeCell="B4" sqref="B4:C4"/>
    </sheetView>
  </sheetViews>
  <sheetFormatPr baseColWidth="10" defaultColWidth="11.42578125" defaultRowHeight="12.75"/>
  <cols>
    <col min="1" max="1" width="90.28515625" style="180" bestFit="1" customWidth="1"/>
    <col min="2" max="3" width="11.42578125" style="180"/>
    <col min="4" max="4" width="15.5703125" style="184" customWidth="1"/>
    <col min="5" max="5" width="7.5703125" style="180" hidden="1" customWidth="1"/>
    <col min="6" max="6" width="8" style="180" hidden="1" customWidth="1"/>
    <col min="7" max="7" width="30.7109375" style="180" customWidth="1"/>
    <col min="8" max="16384" width="11.42578125" style="180"/>
  </cols>
  <sheetData>
    <row r="1" spans="1:8" ht="24.95" customHeight="1">
      <c r="A1" s="845" t="s">
        <v>374</v>
      </c>
      <c r="B1" s="845"/>
      <c r="C1" s="845"/>
      <c r="D1" s="845"/>
      <c r="E1" s="845"/>
      <c r="F1" s="845"/>
      <c r="G1" s="845"/>
    </row>
    <row r="2" spans="1:8" ht="7.5" customHeight="1" thickBot="1">
      <c r="A2" s="182"/>
      <c r="B2" s="182"/>
      <c r="C2" s="182"/>
      <c r="D2" s="183"/>
    </row>
    <row r="3" spans="1:8" ht="42.75" customHeight="1">
      <c r="A3" s="189" t="s">
        <v>68</v>
      </c>
      <c r="B3" s="835" t="s">
        <v>69</v>
      </c>
      <c r="C3" s="836"/>
      <c r="D3" s="190" t="s">
        <v>70</v>
      </c>
      <c r="G3" s="191" t="s">
        <v>24</v>
      </c>
    </row>
    <row r="4" spans="1:8" s="184" customFormat="1" ht="24.95" customHeight="1">
      <c r="A4" s="192" t="s">
        <v>71</v>
      </c>
      <c r="B4" s="831"/>
      <c r="C4" s="832"/>
      <c r="D4" s="785"/>
      <c r="G4" s="193"/>
      <c r="H4" s="194"/>
    </row>
    <row r="5" spans="1:8" s="184" customFormat="1" ht="24.95" customHeight="1">
      <c r="A5" s="195" t="s">
        <v>452</v>
      </c>
      <c r="B5" s="833">
        <v>10</v>
      </c>
      <c r="C5" s="834"/>
      <c r="D5" s="196"/>
      <c r="G5" s="197"/>
    </row>
    <row r="6" spans="1:8" s="184" customFormat="1" ht="30" customHeight="1">
      <c r="A6" s="192" t="s">
        <v>72</v>
      </c>
      <c r="B6" s="837"/>
      <c r="C6" s="838"/>
      <c r="D6" s="841"/>
      <c r="E6" s="184">
        <v>0</v>
      </c>
      <c r="G6" s="846"/>
    </row>
    <row r="7" spans="1:8" s="184" customFormat="1" ht="24.95" customHeight="1">
      <c r="A7" s="198" t="s">
        <v>73</v>
      </c>
      <c r="B7" s="839">
        <v>20</v>
      </c>
      <c r="C7" s="840"/>
      <c r="D7" s="842"/>
      <c r="E7" s="184">
        <v>5</v>
      </c>
      <c r="G7" s="847"/>
    </row>
    <row r="8" spans="1:8" s="184" customFormat="1" ht="24.95" customHeight="1">
      <c r="A8" s="198" t="s">
        <v>74</v>
      </c>
      <c r="B8" s="839">
        <v>10</v>
      </c>
      <c r="C8" s="840"/>
      <c r="D8" s="842"/>
      <c r="E8" s="184">
        <v>10</v>
      </c>
      <c r="G8" s="847"/>
    </row>
    <row r="9" spans="1:8" s="184" customFormat="1" ht="24.95" customHeight="1">
      <c r="A9" s="195" t="s">
        <v>75</v>
      </c>
      <c r="B9" s="833">
        <v>5</v>
      </c>
      <c r="C9" s="834"/>
      <c r="D9" s="843"/>
      <c r="E9" s="184">
        <v>20</v>
      </c>
      <c r="G9" s="848"/>
    </row>
    <row r="10" spans="1:8" s="184" customFormat="1" ht="24.95" customHeight="1">
      <c r="A10" s="192" t="s">
        <v>76</v>
      </c>
      <c r="B10" s="837"/>
      <c r="C10" s="838"/>
      <c r="D10" s="203"/>
      <c r="G10" s="200"/>
    </row>
    <row r="11" spans="1:8" s="184" customFormat="1" ht="45" customHeight="1">
      <c r="A11" s="198" t="s">
        <v>77</v>
      </c>
      <c r="B11" s="839"/>
      <c r="C11" s="840"/>
      <c r="D11" s="844"/>
      <c r="E11" s="184">
        <v>0</v>
      </c>
      <c r="G11" s="847"/>
    </row>
    <row r="12" spans="1:8" s="184" customFormat="1" ht="24.95" customHeight="1">
      <c r="A12" s="198" t="s">
        <v>78</v>
      </c>
      <c r="B12" s="839">
        <v>30</v>
      </c>
      <c r="C12" s="840"/>
      <c r="D12" s="842"/>
      <c r="E12" s="184">
        <v>10</v>
      </c>
      <c r="G12" s="847"/>
    </row>
    <row r="13" spans="1:8" s="184" customFormat="1" ht="24.95" customHeight="1">
      <c r="A13" s="198" t="s">
        <v>79</v>
      </c>
      <c r="B13" s="839">
        <v>20</v>
      </c>
      <c r="C13" s="840"/>
      <c r="D13" s="842"/>
      <c r="E13" s="184">
        <v>20</v>
      </c>
      <c r="G13" s="847"/>
    </row>
    <row r="14" spans="1:8" s="184" customFormat="1" ht="24.95" customHeight="1">
      <c r="A14" s="195" t="s">
        <v>80</v>
      </c>
      <c r="B14" s="833">
        <v>10</v>
      </c>
      <c r="C14" s="834"/>
      <c r="D14" s="843"/>
      <c r="E14" s="184">
        <v>30</v>
      </c>
      <c r="G14" s="848"/>
    </row>
    <row r="15" spans="1:8" s="184" customFormat="1" ht="35.1" customHeight="1">
      <c r="A15" s="192" t="s">
        <v>453</v>
      </c>
      <c r="B15" s="839"/>
      <c r="C15" s="840"/>
      <c r="D15" s="203"/>
      <c r="G15" s="200"/>
    </row>
    <row r="16" spans="1:8" s="184" customFormat="1" ht="15" customHeight="1">
      <c r="A16" s="198" t="s">
        <v>454</v>
      </c>
      <c r="B16" s="839"/>
      <c r="C16" s="840"/>
      <c r="D16" s="844"/>
      <c r="G16" s="847"/>
    </row>
    <row r="17" spans="1:7" s="184" customFormat="1" ht="15" customHeight="1">
      <c r="A17" s="198" t="s">
        <v>81</v>
      </c>
      <c r="B17" s="839"/>
      <c r="C17" s="840"/>
      <c r="D17" s="842"/>
      <c r="E17" s="184">
        <v>0</v>
      </c>
      <c r="G17" s="847"/>
    </row>
    <row r="18" spans="1:7" s="184" customFormat="1" ht="35.1" customHeight="1">
      <c r="A18" s="800" t="s">
        <v>455</v>
      </c>
      <c r="B18" s="849">
        <v>30</v>
      </c>
      <c r="C18" s="850"/>
      <c r="D18" s="842"/>
      <c r="E18" s="184">
        <v>10</v>
      </c>
      <c r="G18" s="847"/>
    </row>
    <row r="19" spans="1:7" s="184" customFormat="1" ht="24.95" customHeight="1">
      <c r="A19" s="195" t="s">
        <v>82</v>
      </c>
      <c r="B19" s="833">
        <v>10</v>
      </c>
      <c r="C19" s="834"/>
      <c r="D19" s="843"/>
      <c r="E19" s="184">
        <v>40</v>
      </c>
      <c r="G19" s="848"/>
    </row>
    <row r="20" spans="1:7" s="184" customFormat="1" ht="24.95" customHeight="1">
      <c r="A20" s="192" t="s">
        <v>83</v>
      </c>
      <c r="B20" s="829" t="s">
        <v>460</v>
      </c>
      <c r="C20" s="825" t="s">
        <v>461</v>
      </c>
      <c r="D20" s="827"/>
      <c r="G20" s="200"/>
    </row>
    <row r="21" spans="1:7" s="188" customFormat="1" ht="94.5" customHeight="1">
      <c r="A21" s="800" t="s">
        <v>456</v>
      </c>
      <c r="B21" s="830"/>
      <c r="C21" s="826"/>
      <c r="D21" s="828"/>
      <c r="E21" s="184"/>
      <c r="F21" s="184"/>
      <c r="G21" s="205"/>
    </row>
    <row r="22" spans="1:7" ht="24.95" customHeight="1">
      <c r="A22" s="800" t="s">
        <v>457</v>
      </c>
      <c r="B22" s="787">
        <v>20</v>
      </c>
      <c r="C22" s="791">
        <v>10</v>
      </c>
      <c r="D22" s="203"/>
      <c r="E22" s="184">
        <v>0</v>
      </c>
      <c r="F22" s="184">
        <v>0</v>
      </c>
      <c r="G22" s="205"/>
    </row>
    <row r="23" spans="1:7" ht="24.95" customHeight="1">
      <c r="A23" s="800" t="s">
        <v>458</v>
      </c>
      <c r="B23" s="787">
        <v>10</v>
      </c>
      <c r="C23" s="199">
        <v>5</v>
      </c>
      <c r="D23" s="203"/>
      <c r="E23" s="184">
        <v>5</v>
      </c>
      <c r="F23" s="184">
        <v>5</v>
      </c>
      <c r="G23" s="205"/>
    </row>
    <row r="24" spans="1:7" ht="24.95" customHeight="1">
      <c r="A24" s="801" t="s">
        <v>84</v>
      </c>
      <c r="B24" s="787">
        <v>10</v>
      </c>
      <c r="C24" s="199">
        <v>5</v>
      </c>
      <c r="D24" s="203"/>
      <c r="E24" s="184">
        <v>10</v>
      </c>
      <c r="F24" s="184"/>
      <c r="G24" s="205"/>
    </row>
    <row r="25" spans="1:7" ht="25.5">
      <c r="A25" s="800" t="s">
        <v>459</v>
      </c>
      <c r="B25" s="787">
        <v>10</v>
      </c>
      <c r="C25" s="206">
        <v>5</v>
      </c>
      <c r="D25" s="203"/>
      <c r="E25" s="184"/>
      <c r="F25" s="184"/>
      <c r="G25" s="205"/>
    </row>
    <row r="26" spans="1:7" ht="24.95" customHeight="1">
      <c r="A26" s="187" t="s">
        <v>67</v>
      </c>
      <c r="B26" s="208"/>
      <c r="C26" s="208"/>
      <c r="D26" s="209">
        <f>IF(SUM(D5:D25)&lt;110,SUM(D5:D25),110)</f>
        <v>0</v>
      </c>
      <c r="E26" s="188"/>
      <c r="F26" s="188"/>
      <c r="G26" s="210"/>
    </row>
    <row r="27" spans="1:7">
      <c r="A27" s="211"/>
      <c r="D27" s="212"/>
    </row>
    <row r="28" spans="1:7">
      <c r="A28" s="213"/>
    </row>
  </sheetData>
  <mergeCells count="27">
    <mergeCell ref="A1:G1"/>
    <mergeCell ref="G6:G9"/>
    <mergeCell ref="G11:G14"/>
    <mergeCell ref="G16:G19"/>
    <mergeCell ref="B18:C18"/>
    <mergeCell ref="B19:C19"/>
    <mergeCell ref="B3:C3"/>
    <mergeCell ref="B6:C6"/>
    <mergeCell ref="B7:C7"/>
    <mergeCell ref="B8:C8"/>
    <mergeCell ref="B9:C9"/>
    <mergeCell ref="C20:C21"/>
    <mergeCell ref="D20:D21"/>
    <mergeCell ref="B20:B21"/>
    <mergeCell ref="B4:C4"/>
    <mergeCell ref="B5:C5"/>
    <mergeCell ref="B10:C10"/>
    <mergeCell ref="B11:C11"/>
    <mergeCell ref="B12:C12"/>
    <mergeCell ref="B13:C13"/>
    <mergeCell ref="B14:C14"/>
    <mergeCell ref="B15:C15"/>
    <mergeCell ref="B16:C16"/>
    <mergeCell ref="B17:C17"/>
    <mergeCell ref="D6:D9"/>
    <mergeCell ref="D11:D14"/>
    <mergeCell ref="D16:D19"/>
  </mergeCells>
  <dataValidations disablePrompts="1" count="9">
    <dataValidation type="list" allowBlank="1" showInputMessage="1" showErrorMessage="1" errorTitle="Falscher Wert!" error="Bitte geben Sie die Zahl 0,10,15 oder 20 ein." sqref="D6:D10">
      <formula1>$E$6:$E$9</formula1>
    </dataValidation>
    <dataValidation type="list" allowBlank="1" showInputMessage="1" showErrorMessage="1" errorTitle="Falscher Wert!" error="Bitte geben sie die Zahl 0 oder 10 ein." sqref="D22">
      <formula1>$E$11:$E$13</formula1>
    </dataValidation>
    <dataValidation type="list" allowBlank="1" showInputMessage="1" showErrorMessage="1" errorTitle="Falscher Wert!" error="Bitte geben Sie die Zahl 0 oder 10 ein." sqref="D24">
      <formula1>$E$22:$E$24</formula1>
    </dataValidation>
    <dataValidation type="list" allowBlank="1" showInputMessage="1" showErrorMessage="1" errorTitle="Falscher Wert!" error="Bitte geben Sie die Zahl 0 oder 5 ein." sqref="D25">
      <formula1>$E$22:$E$24</formula1>
    </dataValidation>
    <dataValidation type="list" allowBlank="1" showInputMessage="1" showErrorMessage="1" errorTitle="Falscher Wert!" error="Bitte geben Sie die Zahl 0, 10, 30 oder 40 ein." sqref="D16:D19">
      <formula1>$E$17:$E$19</formula1>
    </dataValidation>
    <dataValidation type="list" allowBlank="1" showInputMessage="1" showErrorMessage="1" sqref="D5">
      <formula1>$E$22:$E$23</formula1>
    </dataValidation>
    <dataValidation type="list" allowBlank="1" showInputMessage="1" showErrorMessage="1" errorTitle="Falscher Wert!" error="Bitte geben Sie die Zahl 0,10,25 oder 35 ein." sqref="D11:D15">
      <formula1>$E$11:$E$14</formula1>
    </dataValidation>
    <dataValidation allowBlank="1" showInputMessage="1" showErrorMessage="1" errorTitle="Falscher Wert!" error="Bitte geben Sie die Zahl 0, 10, 30 oder 40 ein." sqref="D20:D21"/>
    <dataValidation type="list" allowBlank="1" showInputMessage="1" showErrorMessage="1" errorTitle="Falscher Wert!" error="Bitte geben Sie die Zahl 0 oder 10 ein." sqref="D23">
      <formula1>$E$22:$E$24</formula1>
    </dataValidation>
  </dataValidations>
  <pageMargins left="0.59055118110236238" right="0.59055118110236238" top="0.59055118110236238" bottom="0.59055118110236238" header="0.31496062992125984" footer="0.31496062992125984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45"/>
  <sheetViews>
    <sheetView showGridLines="0" zoomScale="85" zoomScaleNormal="85" workbookViewId="0">
      <selection activeCell="O30" sqref="O30:P30"/>
    </sheetView>
  </sheetViews>
  <sheetFormatPr baseColWidth="10" defaultColWidth="11.42578125" defaultRowHeight="12.75"/>
  <cols>
    <col min="1" max="1" width="23.42578125" style="180" customWidth="1"/>
    <col min="2" max="2" width="46.85546875" style="180" customWidth="1"/>
    <col min="3" max="3" width="67.7109375" style="180" customWidth="1"/>
    <col min="4" max="4" width="11.42578125" style="180"/>
    <col min="5" max="5" width="24.85546875" style="184" customWidth="1"/>
    <col min="6" max="6" width="11.42578125" style="180" hidden="1" customWidth="1"/>
    <col min="7" max="7" width="7.7109375" style="180" hidden="1" customWidth="1"/>
    <col min="8" max="8" width="0.140625" style="180" customWidth="1"/>
    <col min="9" max="9" width="8.28515625" style="180" hidden="1" customWidth="1"/>
    <col min="10" max="10" width="30.7109375" style="180" customWidth="1"/>
    <col min="11" max="16384" width="11.42578125" style="180"/>
  </cols>
  <sheetData>
    <row r="1" spans="1:10" ht="24.95" customHeight="1">
      <c r="A1" s="864" t="s">
        <v>375</v>
      </c>
      <c r="B1" s="845"/>
      <c r="C1" s="845"/>
      <c r="D1" s="845"/>
      <c r="E1" s="845"/>
      <c r="F1" s="845"/>
      <c r="G1" s="845"/>
      <c r="H1" s="845"/>
      <c r="I1" s="845"/>
      <c r="J1" s="845"/>
    </row>
    <row r="2" spans="1:10" ht="7.5" customHeight="1">
      <c r="A2" s="182">
        <v>3</v>
      </c>
      <c r="B2" s="182"/>
      <c r="C2" s="182"/>
      <c r="D2" s="182"/>
      <c r="E2" s="183"/>
    </row>
    <row r="3" spans="1:10" ht="42.75" customHeight="1">
      <c r="A3" s="189" t="s">
        <v>85</v>
      </c>
      <c r="B3" s="214" t="s">
        <v>86</v>
      </c>
      <c r="C3" s="214" t="s">
        <v>87</v>
      </c>
      <c r="D3" s="215" t="s">
        <v>376</v>
      </c>
      <c r="E3" s="216" t="s">
        <v>70</v>
      </c>
      <c r="J3" s="185" t="s">
        <v>24</v>
      </c>
    </row>
    <row r="4" spans="1:10" s="184" customFormat="1" ht="24.95" customHeight="1">
      <c r="A4" s="851" t="s">
        <v>88</v>
      </c>
      <c r="B4" s="217" t="s">
        <v>89</v>
      </c>
      <c r="C4" s="217" t="s">
        <v>90</v>
      </c>
      <c r="D4" s="202">
        <v>4</v>
      </c>
      <c r="E4" s="218">
        <v>0</v>
      </c>
      <c r="F4" s="184">
        <v>0</v>
      </c>
      <c r="G4" s="184">
        <v>4</v>
      </c>
      <c r="J4" s="219"/>
    </row>
    <row r="5" spans="1:10" s="184" customFormat="1" ht="24.95" customHeight="1">
      <c r="A5" s="853"/>
      <c r="B5" s="220" t="s">
        <v>91</v>
      </c>
      <c r="C5" s="221"/>
      <c r="D5" s="222" t="s">
        <v>92</v>
      </c>
      <c r="E5" s="223">
        <f>SUM(E4)</f>
        <v>0</v>
      </c>
      <c r="H5" s="184">
        <v>0</v>
      </c>
      <c r="J5" s="224"/>
    </row>
    <row r="6" spans="1:10" s="184" customFormat="1" ht="24.95" customHeight="1">
      <c r="A6" s="851" t="s">
        <v>93</v>
      </c>
      <c r="B6" s="865" t="s">
        <v>425</v>
      </c>
      <c r="C6" s="829" t="s">
        <v>94</v>
      </c>
      <c r="D6" s="870">
        <v>18</v>
      </c>
      <c r="E6" s="877">
        <v>0</v>
      </c>
      <c r="F6" s="228">
        <v>0</v>
      </c>
      <c r="G6" s="184">
        <v>9</v>
      </c>
      <c r="H6" s="184">
        <v>18</v>
      </c>
      <c r="J6" s="229"/>
    </row>
    <row r="7" spans="1:10" s="184" customFormat="1" ht="24.95" customHeight="1">
      <c r="A7" s="852"/>
      <c r="B7" s="855"/>
      <c r="C7" s="830"/>
      <c r="D7" s="872"/>
      <c r="E7" s="863"/>
      <c r="J7" s="224"/>
    </row>
    <row r="8" spans="1:10" s="184" customFormat="1" ht="24.95" customHeight="1">
      <c r="A8" s="852"/>
      <c r="B8" s="855" t="s">
        <v>424</v>
      </c>
      <c r="C8" s="879" t="s">
        <v>426</v>
      </c>
      <c r="D8" s="870">
        <v>9</v>
      </c>
      <c r="E8" s="877">
        <v>0</v>
      </c>
      <c r="F8" s="184">
        <v>0</v>
      </c>
      <c r="G8" s="184">
        <v>4</v>
      </c>
      <c r="H8" s="184">
        <v>0</v>
      </c>
      <c r="J8" s="229"/>
    </row>
    <row r="9" spans="1:10" s="184" customFormat="1" ht="24.95" customHeight="1" thickBot="1">
      <c r="A9" s="852"/>
      <c r="B9" s="866"/>
      <c r="C9" s="830"/>
      <c r="D9" s="871"/>
      <c r="E9" s="862"/>
      <c r="H9" s="184">
        <v>9</v>
      </c>
      <c r="J9" s="895"/>
    </row>
    <row r="10" spans="1:10" s="184" customFormat="1" ht="32.25" customHeight="1">
      <c r="A10" s="852"/>
      <c r="B10" s="788" t="s">
        <v>427</v>
      </c>
      <c r="C10" s="880"/>
      <c r="D10" s="872"/>
      <c r="E10" s="863"/>
      <c r="J10" s="896"/>
    </row>
    <row r="11" spans="1:10" s="184" customFormat="1" ht="32.25" customHeight="1">
      <c r="A11" s="852"/>
      <c r="B11" s="829" t="s">
        <v>428</v>
      </c>
      <c r="C11" s="789" t="s">
        <v>94</v>
      </c>
      <c r="D11" s="204">
        <v>9</v>
      </c>
      <c r="E11" s="780">
        <v>0</v>
      </c>
      <c r="J11" s="782"/>
    </row>
    <row r="12" spans="1:10" s="184" customFormat="1" ht="42" customHeight="1">
      <c r="A12" s="852"/>
      <c r="B12" s="869"/>
      <c r="C12" s="790" t="s">
        <v>426</v>
      </c>
      <c r="D12" s="204">
        <v>4</v>
      </c>
      <c r="E12" s="780">
        <v>0</v>
      </c>
      <c r="H12" s="184">
        <v>0</v>
      </c>
      <c r="J12" s="782"/>
    </row>
    <row r="13" spans="1:10" s="184" customFormat="1" ht="42" customHeight="1">
      <c r="A13" s="852"/>
      <c r="B13" s="837" t="s">
        <v>95</v>
      </c>
      <c r="C13" s="792" t="s">
        <v>429</v>
      </c>
      <c r="D13" s="870">
        <v>2</v>
      </c>
      <c r="E13" s="874">
        <v>0</v>
      </c>
      <c r="H13" s="184">
        <v>4</v>
      </c>
      <c r="J13" s="894"/>
    </row>
    <row r="14" spans="1:10" s="184" customFormat="1" ht="42" customHeight="1">
      <c r="A14" s="852"/>
      <c r="B14" s="839"/>
      <c r="C14" s="793" t="s">
        <v>431</v>
      </c>
      <c r="D14" s="871"/>
      <c r="E14" s="875"/>
      <c r="J14" s="895"/>
    </row>
    <row r="15" spans="1:10" s="184" customFormat="1" ht="24.95" customHeight="1">
      <c r="A15" s="852"/>
      <c r="B15" s="873"/>
      <c r="C15" s="794" t="s">
        <v>430</v>
      </c>
      <c r="D15" s="872"/>
      <c r="E15" s="876"/>
      <c r="F15" s="184">
        <v>0</v>
      </c>
      <c r="G15" s="184">
        <v>2</v>
      </c>
      <c r="J15" s="896"/>
    </row>
    <row r="16" spans="1:10" s="184" customFormat="1" ht="33" customHeight="1">
      <c r="A16" s="852"/>
      <c r="B16" s="867" t="s">
        <v>432</v>
      </c>
      <c r="C16" s="868"/>
      <c r="D16" s="886" t="s">
        <v>96</v>
      </c>
      <c r="E16" s="891">
        <f>IF(SUM(E6:E15)&lt;20,SUM(E6:E15),20)</f>
        <v>0</v>
      </c>
      <c r="J16" s="224"/>
    </row>
    <row r="17" spans="1:10" s="184" customFormat="1" ht="33" customHeight="1">
      <c r="A17" s="852"/>
      <c r="B17" s="881" t="s">
        <v>433</v>
      </c>
      <c r="C17" s="885"/>
      <c r="D17" s="887"/>
      <c r="E17" s="892"/>
      <c r="J17" s="224"/>
    </row>
    <row r="18" spans="1:10" s="184" customFormat="1" ht="30.75" customHeight="1">
      <c r="A18" s="852"/>
      <c r="B18" s="881" t="s">
        <v>434</v>
      </c>
      <c r="C18" s="882"/>
      <c r="D18" s="887"/>
      <c r="E18" s="892"/>
      <c r="J18" s="224"/>
    </row>
    <row r="19" spans="1:10" s="184" customFormat="1" ht="30.95" customHeight="1">
      <c r="A19" s="853"/>
      <c r="B19" s="883" t="s">
        <v>435</v>
      </c>
      <c r="C19" s="884"/>
      <c r="D19" s="888"/>
      <c r="E19" s="893"/>
      <c r="J19" s="224"/>
    </row>
    <row r="20" spans="1:10" s="184" customFormat="1" ht="24.95" customHeight="1">
      <c r="A20" s="851" t="s">
        <v>97</v>
      </c>
      <c r="B20" s="237" t="s">
        <v>98</v>
      </c>
      <c r="C20" s="225" t="s">
        <v>99</v>
      </c>
      <c r="D20" s="226">
        <v>3</v>
      </c>
      <c r="E20" s="877">
        <v>0</v>
      </c>
      <c r="F20" s="184">
        <v>0</v>
      </c>
      <c r="G20" s="184">
        <v>1</v>
      </c>
      <c r="H20" s="184">
        <v>3</v>
      </c>
      <c r="J20" s="229"/>
    </row>
    <row r="21" spans="1:10" s="184" customFormat="1" ht="24.95" customHeight="1">
      <c r="A21" s="852"/>
      <c r="B21" s="238"/>
      <c r="C21" s="230" t="s">
        <v>100</v>
      </c>
      <c r="D21" s="204">
        <v>1</v>
      </c>
      <c r="E21" s="863"/>
      <c r="J21" s="232"/>
    </row>
    <row r="22" spans="1:10" s="184" customFormat="1" ht="24.95" customHeight="1">
      <c r="A22" s="853"/>
      <c r="B22" s="889" t="s">
        <v>101</v>
      </c>
      <c r="C22" s="890"/>
      <c r="D22" s="236" t="s">
        <v>102</v>
      </c>
      <c r="E22" s="223">
        <f>SUM(E20)</f>
        <v>0</v>
      </c>
      <c r="J22" s="219"/>
    </row>
    <row r="23" spans="1:10" s="184" customFormat="1" ht="51" customHeight="1">
      <c r="A23" s="851" t="s">
        <v>103</v>
      </c>
      <c r="B23" s="854" t="s">
        <v>104</v>
      </c>
      <c r="C23" s="795" t="s">
        <v>436</v>
      </c>
      <c r="D23" s="226">
        <v>2</v>
      </c>
      <c r="E23" s="235">
        <v>0</v>
      </c>
      <c r="F23" s="184">
        <v>0</v>
      </c>
      <c r="G23" s="184">
        <v>2</v>
      </c>
      <c r="J23" s="224"/>
    </row>
    <row r="24" spans="1:10" s="184" customFormat="1" ht="24.95" customHeight="1">
      <c r="A24" s="852"/>
      <c r="B24" s="855"/>
      <c r="C24" s="796" t="s">
        <v>437</v>
      </c>
      <c r="D24" s="201">
        <v>2</v>
      </c>
      <c r="E24" s="798">
        <v>0</v>
      </c>
      <c r="J24" s="781"/>
    </row>
    <row r="25" spans="1:10" s="184" customFormat="1" ht="65.25" customHeight="1">
      <c r="A25" s="852"/>
      <c r="B25" s="855"/>
      <c r="C25" s="796" t="s">
        <v>438</v>
      </c>
      <c r="D25" s="201">
        <v>2</v>
      </c>
      <c r="E25" s="798">
        <v>0</v>
      </c>
      <c r="J25" s="781"/>
    </row>
    <row r="26" spans="1:10" s="184" customFormat="1" ht="12.75" customHeight="1">
      <c r="A26" s="852"/>
      <c r="B26" s="855"/>
      <c r="C26" s="878" t="s">
        <v>439</v>
      </c>
      <c r="D26" s="839">
        <v>2</v>
      </c>
      <c r="E26" s="862">
        <v>0</v>
      </c>
      <c r="J26" s="797"/>
    </row>
    <row r="27" spans="1:10" s="184" customFormat="1" ht="33" customHeight="1">
      <c r="A27" s="852"/>
      <c r="B27" s="856"/>
      <c r="C27" s="856"/>
      <c r="D27" s="873"/>
      <c r="E27" s="863"/>
      <c r="J27" s="786"/>
    </row>
    <row r="28" spans="1:10" s="184" customFormat="1" ht="25.5" customHeight="1">
      <c r="A28" s="852"/>
      <c r="B28" s="857" t="s">
        <v>432</v>
      </c>
      <c r="C28" s="858"/>
      <c r="D28" s="886" t="s">
        <v>105</v>
      </c>
      <c r="E28" s="891">
        <f>SUM(E23:E27)</f>
        <v>0</v>
      </c>
      <c r="J28" s="894"/>
    </row>
    <row r="29" spans="1:10" s="184" customFormat="1">
      <c r="A29" s="852"/>
      <c r="B29" s="899" t="s">
        <v>443</v>
      </c>
      <c r="C29" s="900"/>
      <c r="D29" s="887"/>
      <c r="E29" s="892"/>
      <c r="J29" s="895"/>
    </row>
    <row r="30" spans="1:10" s="184" customFormat="1" ht="24.75" customHeight="1">
      <c r="A30" s="852"/>
      <c r="B30" s="899" t="s">
        <v>445</v>
      </c>
      <c r="C30" s="900"/>
      <c r="D30" s="887"/>
      <c r="E30" s="892"/>
      <c r="J30" s="895"/>
    </row>
    <row r="31" spans="1:10" s="184" customFormat="1" ht="24" customHeight="1">
      <c r="A31" s="852"/>
      <c r="B31" s="899" t="s">
        <v>446</v>
      </c>
      <c r="C31" s="900"/>
      <c r="D31" s="887"/>
      <c r="E31" s="892"/>
      <c r="J31" s="895"/>
    </row>
    <row r="32" spans="1:10" s="184" customFormat="1" ht="33" customHeight="1">
      <c r="A32" s="852"/>
      <c r="B32" s="899" t="s">
        <v>447</v>
      </c>
      <c r="C32" s="900"/>
      <c r="D32" s="887"/>
      <c r="E32" s="892"/>
      <c r="J32" s="895"/>
    </row>
    <row r="33" spans="1:10" s="184" customFormat="1" ht="52.5" customHeight="1">
      <c r="A33" s="853"/>
      <c r="B33" s="901" t="s">
        <v>448</v>
      </c>
      <c r="C33" s="902"/>
      <c r="D33" s="888"/>
      <c r="E33" s="893"/>
      <c r="J33" s="896"/>
    </row>
    <row r="34" spans="1:10" s="184" customFormat="1" ht="30" customHeight="1">
      <c r="A34" s="851" t="s">
        <v>419</v>
      </c>
      <c r="B34" s="859" t="s">
        <v>420</v>
      </c>
      <c r="C34" s="779" t="s">
        <v>418</v>
      </c>
      <c r="D34" s="575">
        <v>3</v>
      </c>
      <c r="E34" s="778">
        <v>0</v>
      </c>
      <c r="F34" s="184">
        <v>0</v>
      </c>
      <c r="G34" s="184">
        <v>4</v>
      </c>
      <c r="H34" s="184">
        <v>7</v>
      </c>
      <c r="J34" s="240"/>
    </row>
    <row r="35" spans="1:10" s="184" customFormat="1" ht="24.95" customHeight="1">
      <c r="A35" s="852"/>
      <c r="B35" s="860"/>
      <c r="C35" s="577" t="s">
        <v>421</v>
      </c>
      <c r="D35" s="783">
        <v>2</v>
      </c>
      <c r="E35" s="227">
        <v>0</v>
      </c>
      <c r="J35" s="242"/>
    </row>
    <row r="36" spans="1:10" s="184" customFormat="1" ht="24.95" customHeight="1">
      <c r="A36" s="852"/>
      <c r="B36" s="861"/>
      <c r="C36" s="577" t="s">
        <v>422</v>
      </c>
      <c r="D36" s="579">
        <v>1</v>
      </c>
      <c r="E36" s="231">
        <v>0</v>
      </c>
      <c r="F36" s="184">
        <v>0</v>
      </c>
      <c r="G36" s="184">
        <v>3</v>
      </c>
      <c r="J36" s="186"/>
    </row>
    <row r="37" spans="1:10" s="184" customFormat="1" ht="24.95" customHeight="1">
      <c r="A37" s="853"/>
      <c r="B37" s="576" t="s">
        <v>111</v>
      </c>
      <c r="C37" s="573"/>
      <c r="D37" s="578" t="s">
        <v>423</v>
      </c>
      <c r="E37" s="239">
        <f>IF(SUM(E34:E36)&lt;6,SUM(E34:E36),6)</f>
        <v>0</v>
      </c>
      <c r="J37" s="186"/>
    </row>
    <row r="38" spans="1:10" s="184" customFormat="1" ht="24.95" customHeight="1">
      <c r="A38" s="851" t="s">
        <v>106</v>
      </c>
      <c r="B38" s="854" t="s">
        <v>107</v>
      </c>
      <c r="C38" s="792" t="s">
        <v>440</v>
      </c>
      <c r="D38" s="241">
        <v>7</v>
      </c>
      <c r="E38" s="877">
        <v>0</v>
      </c>
      <c r="F38" s="184">
        <v>0</v>
      </c>
      <c r="G38" s="184">
        <v>3</v>
      </c>
      <c r="I38" s="240"/>
      <c r="J38" s="598"/>
    </row>
    <row r="39" spans="1:10" s="184" customFormat="1" ht="24.95" customHeight="1">
      <c r="A39" s="852"/>
      <c r="B39" s="856"/>
      <c r="C39" s="230" t="s">
        <v>108</v>
      </c>
      <c r="D39" s="204">
        <v>4</v>
      </c>
      <c r="E39" s="863"/>
      <c r="F39" s="184">
        <v>0</v>
      </c>
      <c r="G39" s="184">
        <v>2</v>
      </c>
      <c r="J39" s="186"/>
    </row>
    <row r="40" spans="1:10" s="184" customFormat="1" ht="33" customHeight="1">
      <c r="A40" s="852"/>
      <c r="B40" s="233" t="s">
        <v>109</v>
      </c>
      <c r="C40" s="238" t="s">
        <v>110</v>
      </c>
      <c r="D40" s="234">
        <v>3</v>
      </c>
      <c r="E40" s="235">
        <v>0</v>
      </c>
      <c r="F40" s="184">
        <v>0</v>
      </c>
      <c r="G40" s="184">
        <v>1</v>
      </c>
      <c r="J40" s="186"/>
    </row>
    <row r="41" spans="1:10" s="184" customFormat="1" ht="24" customHeight="1">
      <c r="A41" s="852"/>
      <c r="B41" s="867" t="s">
        <v>442</v>
      </c>
      <c r="C41" s="868"/>
      <c r="D41" s="886" t="s">
        <v>112</v>
      </c>
      <c r="E41" s="891">
        <f>IF(SUM(E38:E40)&lt;10,SUM(E38:E40),10)</f>
        <v>0</v>
      </c>
      <c r="J41" s="186"/>
    </row>
    <row r="42" spans="1:10" s="184" customFormat="1" ht="23.25" customHeight="1">
      <c r="A42" s="852"/>
      <c r="B42" s="881" t="s">
        <v>443</v>
      </c>
      <c r="C42" s="885"/>
      <c r="D42" s="887"/>
      <c r="E42" s="892"/>
      <c r="J42" s="186"/>
    </row>
    <row r="43" spans="1:10" s="184" customFormat="1" ht="24.95" customHeight="1">
      <c r="A43" s="853"/>
      <c r="B43" s="897" t="s">
        <v>444</v>
      </c>
      <c r="C43" s="898"/>
      <c r="D43" s="888"/>
      <c r="E43" s="893"/>
      <c r="J43" s="186"/>
    </row>
    <row r="44" spans="1:10" s="188" customFormat="1" ht="30" customHeight="1" thickBot="1">
      <c r="A44" s="187" t="s">
        <v>67</v>
      </c>
      <c r="B44" s="208" t="s">
        <v>441</v>
      </c>
      <c r="C44" s="604"/>
      <c r="D44" s="208"/>
      <c r="E44" s="605">
        <f>IF(SUM(E5,E16,E22,E28,E41,E37)&lt;50,SUM(E5,E16,E22,E28,E41,E37),40)</f>
        <v>0</v>
      </c>
      <c r="H44" s="784"/>
      <c r="I44" s="602"/>
      <c r="J44" s="603"/>
    </row>
    <row r="45" spans="1:10">
      <c r="A45" s="211"/>
      <c r="B45" s="211"/>
      <c r="C45" s="211"/>
      <c r="D45" s="211"/>
      <c r="E45" s="212"/>
    </row>
  </sheetData>
  <mergeCells count="50">
    <mergeCell ref="J13:J15"/>
    <mergeCell ref="J9:J10"/>
    <mergeCell ref="B41:C41"/>
    <mergeCell ref="B43:C43"/>
    <mergeCell ref="B42:C42"/>
    <mergeCell ref="D41:D43"/>
    <mergeCell ref="E41:E43"/>
    <mergeCell ref="B29:C29"/>
    <mergeCell ref="B30:C30"/>
    <mergeCell ref="B31:C31"/>
    <mergeCell ref="B32:C32"/>
    <mergeCell ref="B33:C33"/>
    <mergeCell ref="D28:D33"/>
    <mergeCell ref="E28:E33"/>
    <mergeCell ref="J28:J33"/>
    <mergeCell ref="E20:E21"/>
    <mergeCell ref="E38:E39"/>
    <mergeCell ref="C26:C27"/>
    <mergeCell ref="D26:D27"/>
    <mergeCell ref="C6:C7"/>
    <mergeCell ref="C8:C10"/>
    <mergeCell ref="D6:D7"/>
    <mergeCell ref="B18:C18"/>
    <mergeCell ref="B19:C19"/>
    <mergeCell ref="B17:C17"/>
    <mergeCell ref="D16:D19"/>
    <mergeCell ref="B22:C22"/>
    <mergeCell ref="E16:E19"/>
    <mergeCell ref="E26:E27"/>
    <mergeCell ref="A1:J1"/>
    <mergeCell ref="A4:A5"/>
    <mergeCell ref="B6:B7"/>
    <mergeCell ref="B8:B9"/>
    <mergeCell ref="B16:C16"/>
    <mergeCell ref="A6:A19"/>
    <mergeCell ref="A20:A22"/>
    <mergeCell ref="A23:A33"/>
    <mergeCell ref="B11:B12"/>
    <mergeCell ref="D8:D10"/>
    <mergeCell ref="B13:B15"/>
    <mergeCell ref="D13:D15"/>
    <mergeCell ref="E13:E15"/>
    <mergeCell ref="E8:E10"/>
    <mergeCell ref="E6:E7"/>
    <mergeCell ref="A38:A43"/>
    <mergeCell ref="B23:B27"/>
    <mergeCell ref="B28:C28"/>
    <mergeCell ref="B38:B39"/>
    <mergeCell ref="B34:B36"/>
    <mergeCell ref="A34:A37"/>
  </mergeCells>
  <dataValidations count="11">
    <dataValidation type="list" allowBlank="1" showInputMessage="1" showErrorMessage="1" sqref="E4">
      <formula1>$F$4:$G$4</formula1>
    </dataValidation>
    <dataValidation type="list" allowBlank="1" showInputMessage="1" showErrorMessage="1" sqref="E6:E7">
      <formula1>$H$5:$H$6</formula1>
    </dataValidation>
    <dataValidation type="list" allowBlank="1" showInputMessage="1" showErrorMessage="1" sqref="E12">
      <formula1>$H$12:$H$13</formula1>
    </dataValidation>
    <dataValidation type="list" allowBlank="1" showInputMessage="1" showErrorMessage="1" sqref="E20:E21">
      <formula1>$F$20:$H$20</formula1>
    </dataValidation>
    <dataValidation type="list" allowBlank="1" showInputMessage="1" showErrorMessage="1" sqref="E13 E23:E26">
      <formula1>$F$23:$G$23</formula1>
    </dataValidation>
    <dataValidation type="list" allowBlank="1" showInputMessage="1" showErrorMessage="1" sqref="E38:E39">
      <formula1>$F$34:$H$34</formula1>
    </dataValidation>
    <dataValidation type="list" allowBlank="1" showInputMessage="1" showErrorMessage="1" sqref="E40">
      <formula1>$F$36:$G$36</formula1>
    </dataValidation>
    <dataValidation type="list" allowBlank="1" showInputMessage="1" showErrorMessage="1" sqref="E35">
      <formula1>$F$39:$G$39</formula1>
    </dataValidation>
    <dataValidation type="list" allowBlank="1" showInputMessage="1" showErrorMessage="1" sqref="E36">
      <formula1>$F$40:$G$40</formula1>
    </dataValidation>
    <dataValidation type="list" allowBlank="1" showInputMessage="1" showErrorMessage="1" sqref="E34">
      <formula1>$F$38:$G$38</formula1>
    </dataValidation>
    <dataValidation type="list" allowBlank="1" showInputMessage="1" showErrorMessage="1" sqref="E11 E8:E10">
      <formula1>$H$8:$H$9</formula1>
    </dataValidation>
  </dataValidations>
  <pageMargins left="0.59055118110236238" right="0.59055118110236238" top="0.59055118110236238" bottom="0.59055118110236238" header="0.31496062992125984" footer="0.31496062992125984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P31"/>
  <sheetViews>
    <sheetView showGridLines="0" zoomScale="80" workbookViewId="0">
      <selection activeCell="A2" sqref="A2"/>
    </sheetView>
  </sheetViews>
  <sheetFormatPr baseColWidth="10" defaultColWidth="11.42578125" defaultRowHeight="15"/>
  <cols>
    <col min="1" max="1" width="37" style="244" customWidth="1"/>
    <col min="2" max="2" width="15.85546875" style="244" customWidth="1"/>
    <col min="3" max="3" width="16" style="244" customWidth="1"/>
    <col min="4" max="4" width="27.7109375" style="244" customWidth="1"/>
    <col min="5" max="5" width="6.7109375" style="244" customWidth="1"/>
    <col min="6" max="6" width="11.42578125" style="244"/>
    <col min="7" max="7" width="25.5703125" style="244" bestFit="1" customWidth="1"/>
    <col min="8" max="8" width="35" style="244" customWidth="1"/>
    <col min="9" max="9" width="30.7109375" style="245" customWidth="1"/>
    <col min="10" max="10" width="11.42578125" style="244"/>
    <col min="11" max="11" width="3.85546875" style="244" customWidth="1"/>
    <col min="12" max="12" width="22.28515625" style="244" customWidth="1"/>
    <col min="13" max="13" width="29.28515625" style="244" customWidth="1"/>
    <col min="14" max="15" width="16.7109375" style="244" customWidth="1"/>
    <col min="16" max="16384" width="11.42578125" style="244"/>
  </cols>
  <sheetData>
    <row r="1" spans="1:16" ht="23.25" customHeight="1">
      <c r="A1" s="580" t="s">
        <v>462</v>
      </c>
      <c r="B1" s="246"/>
      <c r="C1" s="246"/>
      <c r="D1" s="246"/>
      <c r="E1" s="246"/>
      <c r="F1" s="246"/>
      <c r="G1" s="246"/>
      <c r="H1" s="246"/>
    </row>
    <row r="2" spans="1:16" ht="8.25" customHeight="1" thickBot="1">
      <c r="A2" s="247"/>
      <c r="B2" s="247"/>
      <c r="C2" s="247"/>
      <c r="D2" s="247"/>
      <c r="E2" s="247"/>
      <c r="F2" s="247"/>
      <c r="G2" s="247"/>
      <c r="H2" s="247"/>
      <c r="K2" s="676"/>
      <c r="L2" s="676"/>
      <c r="M2" s="676"/>
      <c r="N2" s="676"/>
      <c r="O2" s="676"/>
      <c r="P2" s="676"/>
    </row>
    <row r="3" spans="1:16" ht="24.95" customHeight="1">
      <c r="A3" s="248" t="s">
        <v>113</v>
      </c>
      <c r="B3" s="249"/>
      <c r="C3" s="249"/>
      <c r="D3" s="249"/>
      <c r="E3" s="250"/>
      <c r="F3" s="250"/>
      <c r="G3" s="249"/>
      <c r="H3" s="251"/>
      <c r="I3" s="252" t="s">
        <v>24</v>
      </c>
      <c r="K3" s="661"/>
      <c r="L3" s="662" t="s">
        <v>362</v>
      </c>
      <c r="M3" s="663"/>
      <c r="N3" s="663"/>
      <c r="O3" s="663"/>
      <c r="P3" s="664"/>
    </row>
    <row r="4" spans="1:16" ht="24.95" customHeight="1">
      <c r="A4" s="172" t="s">
        <v>114</v>
      </c>
      <c r="B4" s="903"/>
      <c r="C4" s="904"/>
      <c r="D4" s="905"/>
      <c r="E4" s="255"/>
      <c r="F4" s="256" t="s">
        <v>115</v>
      </c>
      <c r="G4" s="246"/>
      <c r="H4" s="257"/>
      <c r="I4" s="259"/>
      <c r="K4" s="661"/>
      <c r="L4" s="663"/>
      <c r="M4" s="663"/>
      <c r="N4" s="663"/>
      <c r="O4" s="663"/>
      <c r="P4" s="664"/>
    </row>
    <row r="5" spans="1:16" ht="24.95" customHeight="1">
      <c r="A5" s="172" t="s">
        <v>116</v>
      </c>
      <c r="B5" s="903" t="s">
        <v>283</v>
      </c>
      <c r="C5" s="904"/>
      <c r="D5" s="905"/>
      <c r="E5" s="246"/>
      <c r="F5" s="258" t="s">
        <v>117</v>
      </c>
      <c r="G5" s="246"/>
      <c r="H5" s="254"/>
      <c r="I5" s="259"/>
      <c r="K5" s="661"/>
      <c r="L5" s="663" t="s">
        <v>363</v>
      </c>
      <c r="M5" s="663"/>
      <c r="N5" s="665"/>
      <c r="O5" s="663"/>
      <c r="P5" s="664"/>
    </row>
    <row r="6" spans="1:16" ht="24.95" customHeight="1">
      <c r="A6" s="172" t="s">
        <v>118</v>
      </c>
      <c r="B6" s="589" t="s">
        <v>377</v>
      </c>
      <c r="C6" s="258" t="s">
        <v>119</v>
      </c>
      <c r="D6" s="246"/>
      <c r="E6" s="246"/>
      <c r="F6" s="246"/>
      <c r="G6" s="246"/>
      <c r="H6" s="246"/>
      <c r="I6" s="259"/>
      <c r="K6" s="661"/>
      <c r="L6" s="663" t="s">
        <v>364</v>
      </c>
      <c r="M6" s="663"/>
      <c r="N6" s="665"/>
      <c r="O6" s="663"/>
      <c r="P6" s="664"/>
    </row>
    <row r="7" spans="1:16" ht="24.95" customHeight="1">
      <c r="A7" s="172" t="str">
        <f>_xlfn.IFNA(VLOOKUP(B5,Objektabelle!A2:B7,2,FALSE), "Bezugsgröße")</f>
        <v>Anzahl Schüler</v>
      </c>
      <c r="B7" s="260"/>
      <c r="C7" s="588"/>
      <c r="D7" s="246"/>
      <c r="E7" s="246"/>
      <c r="F7" s="246"/>
      <c r="G7" s="246"/>
      <c r="H7" s="254"/>
      <c r="I7" s="252"/>
      <c r="K7" s="661"/>
      <c r="L7" s="663"/>
      <c r="M7" s="663"/>
      <c r="N7" s="663"/>
      <c r="O7" s="663"/>
      <c r="P7" s="664"/>
    </row>
    <row r="8" spans="1:16" ht="24.95" customHeight="1">
      <c r="A8" s="262"/>
      <c r="B8" s="263"/>
      <c r="C8" s="261"/>
      <c r="D8" s="261"/>
      <c r="E8" s="261"/>
      <c r="F8" s="261"/>
      <c r="G8" s="261"/>
      <c r="H8" s="264"/>
      <c r="I8" s="259"/>
      <c r="K8" s="661"/>
      <c r="L8" s="666"/>
      <c r="M8" s="667" t="s">
        <v>365</v>
      </c>
      <c r="N8" s="668" t="s">
        <v>366</v>
      </c>
      <c r="O8" s="667" t="s">
        <v>367</v>
      </c>
      <c r="P8" s="664"/>
    </row>
    <row r="9" spans="1:16" ht="24.95" customHeight="1">
      <c r="A9" s="265" t="s">
        <v>120</v>
      </c>
      <c r="B9" s="266"/>
      <c r="C9" s="267"/>
      <c r="D9" s="268"/>
      <c r="E9" s="267"/>
      <c r="F9" s="267"/>
      <c r="G9" s="268"/>
      <c r="H9" s="269"/>
      <c r="I9" s="259"/>
      <c r="K9" s="669"/>
      <c r="L9" s="670" t="s">
        <v>368</v>
      </c>
      <c r="M9" s="671"/>
      <c r="N9" s="665"/>
      <c r="O9" s="665"/>
      <c r="P9" s="664"/>
    </row>
    <row r="10" spans="1:16" ht="24.95" customHeight="1">
      <c r="A10" s="172" t="s">
        <v>121</v>
      </c>
      <c r="B10" s="270"/>
      <c r="C10" s="271"/>
      <c r="D10" s="272"/>
      <c r="E10" s="246"/>
      <c r="F10" s="246"/>
      <c r="G10" s="272"/>
      <c r="H10" s="257"/>
      <c r="I10" s="259"/>
      <c r="K10" s="669"/>
      <c r="L10" s="670" t="s">
        <v>369</v>
      </c>
      <c r="M10" s="671"/>
      <c r="N10" s="665"/>
      <c r="O10" s="665"/>
      <c r="P10" s="664"/>
    </row>
    <row r="11" spans="1:16" ht="24.95" customHeight="1">
      <c r="A11" s="172" t="s">
        <v>122</v>
      </c>
      <c r="B11" s="273">
        <f>1-B10</f>
        <v>1</v>
      </c>
      <c r="C11" s="271"/>
      <c r="D11" s="274" t="s">
        <v>123</v>
      </c>
      <c r="E11" s="246"/>
      <c r="F11" s="246"/>
      <c r="G11" s="246"/>
      <c r="H11" s="254"/>
      <c r="I11" s="259"/>
      <c r="K11" s="669"/>
      <c r="L11" s="670" t="s">
        <v>370</v>
      </c>
      <c r="M11" s="671"/>
      <c r="N11" s="665"/>
      <c r="O11" s="665"/>
      <c r="P11" s="664"/>
    </row>
    <row r="12" spans="1:16" ht="24.95" customHeight="1">
      <c r="A12" s="172" t="s">
        <v>124</v>
      </c>
      <c r="B12" s="275"/>
      <c r="C12" s="271" t="s">
        <v>125</v>
      </c>
      <c r="D12" s="246"/>
      <c r="E12" s="246"/>
      <c r="F12" s="246"/>
      <c r="G12" s="246"/>
      <c r="H12" s="254"/>
      <c r="I12" s="259"/>
      <c r="K12" s="669"/>
      <c r="L12" s="670" t="s">
        <v>371</v>
      </c>
      <c r="M12" s="671"/>
      <c r="N12" s="665"/>
      <c r="O12" s="665"/>
      <c r="P12" s="664"/>
    </row>
    <row r="13" spans="1:16" ht="24.95" customHeight="1">
      <c r="A13" s="172" t="s">
        <v>126</v>
      </c>
      <c r="B13" s="275"/>
      <c r="C13" s="246"/>
      <c r="D13" s="246"/>
      <c r="E13" s="246"/>
      <c r="F13" s="246"/>
      <c r="G13" s="246"/>
      <c r="H13" s="254"/>
      <c r="I13" s="259"/>
      <c r="K13" s="669"/>
      <c r="L13" s="670" t="s">
        <v>372</v>
      </c>
      <c r="M13" s="671"/>
      <c r="N13" s="665"/>
      <c r="O13" s="665"/>
      <c r="P13" s="664"/>
    </row>
    <row r="14" spans="1:16" ht="24.95" customHeight="1">
      <c r="A14" s="262"/>
      <c r="B14" s="271"/>
      <c r="C14" s="271"/>
      <c r="D14" s="246"/>
      <c r="E14" s="246"/>
      <c r="F14" s="246"/>
      <c r="G14" s="246"/>
      <c r="H14" s="254"/>
      <c r="I14" s="259"/>
      <c r="K14" s="661"/>
      <c r="L14" s="663"/>
      <c r="M14" s="672"/>
      <c r="N14" s="663"/>
      <c r="O14" s="663"/>
      <c r="P14" s="664"/>
    </row>
    <row r="15" spans="1:16" ht="24.95" customHeight="1">
      <c r="A15" s="265" t="s">
        <v>127</v>
      </c>
      <c r="B15" s="267"/>
      <c r="C15" s="267"/>
      <c r="D15" s="267"/>
      <c r="E15" s="267"/>
      <c r="F15" s="267"/>
      <c r="G15" s="267"/>
      <c r="H15" s="276"/>
      <c r="I15" s="259"/>
      <c r="K15" s="661"/>
      <c r="L15" s="663"/>
      <c r="M15" s="677" t="s">
        <v>373</v>
      </c>
      <c r="N15" s="678"/>
      <c r="O15" s="673">
        <f>IF(ISNUMBER(N9),(N9*O9+N10*O10+N11*O11+N12*O12+N13*O13)/SUM(O9:O13),0)</f>
        <v>0</v>
      </c>
      <c r="P15" s="664"/>
    </row>
    <row r="16" spans="1:16" ht="24.95" customHeight="1" thickBot="1">
      <c r="A16" s="277"/>
      <c r="B16" s="911" t="s">
        <v>128</v>
      </c>
      <c r="C16" s="912"/>
      <c r="D16" s="911" t="s">
        <v>129</v>
      </c>
      <c r="E16" s="912"/>
      <c r="F16" s="271"/>
      <c r="G16" s="246"/>
      <c r="H16" s="257"/>
      <c r="I16" s="259"/>
      <c r="K16" s="674"/>
      <c r="L16" s="660"/>
      <c r="M16" s="660"/>
      <c r="N16" s="660"/>
      <c r="O16" s="660"/>
      <c r="P16" s="675"/>
    </row>
    <row r="17" spans="1:9" ht="24.95" customHeight="1">
      <c r="A17" s="172" t="s">
        <v>130</v>
      </c>
      <c r="B17" s="913">
        <f>_xlfn.IFNA(ROUND(IF(COUNTA(B6),0.8*'A 1.4'!B7*VLOOKUP('A 1.4'!B5:D5,Objektabelle!A2:D7,3,FALSE),'A 1.4'!B7*VLOOKUP('A 1.4'!B5:D5,Objektabelle!A2:D7,3,FALSE)),0),"-")</f>
        <v>0</v>
      </c>
      <c r="C17" s="914"/>
      <c r="D17" s="915" t="str">
        <f>IFERROR(B17*B10*2*0.8+B17*B11*2*0.45&amp;" m²","-")</f>
        <v>0 m²</v>
      </c>
      <c r="E17" s="915"/>
      <c r="F17" s="278" t="s">
        <v>131</v>
      </c>
      <c r="G17" s="246"/>
      <c r="H17" s="254"/>
      <c r="I17" s="259"/>
    </row>
    <row r="18" spans="1:9" ht="24.95" customHeight="1">
      <c r="A18" s="172" t="s">
        <v>132</v>
      </c>
      <c r="B18" s="913">
        <f>_xlfn.IFNA(ROUND(IF(COUNTA(B6),0.8*'A 1.4'!B7*VLOOKUP('A 1.4'!B5:D5,Objektabelle!A2:D7,4,FALSE),'A 1.4'!B7*VLOOKUP('A 1.4'!B5:D5,Objektabelle!A2:D7,4,FALSE)),0),"-")</f>
        <v>0</v>
      </c>
      <c r="C18" s="914"/>
      <c r="D18" s="915" t="str">
        <f>IFERROR(B18*B10*0.8*2+B18*B11*2*0.45&amp;" m²","-")</f>
        <v>0 m²</v>
      </c>
      <c r="E18" s="915"/>
      <c r="F18" s="278" t="s">
        <v>131</v>
      </c>
      <c r="G18" s="246"/>
      <c r="H18" s="254"/>
      <c r="I18" s="259"/>
    </row>
    <row r="19" spans="1:9" ht="24.95" customHeight="1">
      <c r="A19" s="279"/>
      <c r="B19" s="280"/>
      <c r="C19" s="280"/>
      <c r="D19" s="280"/>
      <c r="E19" s="280"/>
      <c r="F19" s="281"/>
      <c r="G19" s="261"/>
      <c r="H19" s="264"/>
      <c r="I19" s="259"/>
    </row>
    <row r="20" spans="1:9" ht="24.95" customHeight="1">
      <c r="A20" s="265" t="s">
        <v>133</v>
      </c>
      <c r="B20" s="282"/>
      <c r="C20" s="282"/>
      <c r="D20" s="282"/>
      <c r="E20" s="283"/>
      <c r="F20" s="284"/>
      <c r="G20" s="285"/>
      <c r="H20" s="286"/>
      <c r="I20" s="259"/>
    </row>
    <row r="21" spans="1:9" ht="24.95" customHeight="1">
      <c r="A21" s="906" t="s">
        <v>134</v>
      </c>
      <c r="B21" s="907"/>
      <c r="C21" s="908"/>
      <c r="D21" s="287">
        <v>5</v>
      </c>
      <c r="E21" s="253"/>
      <c r="F21" s="272"/>
      <c r="G21" s="272"/>
      <c r="H21" s="254"/>
      <c r="I21" s="259"/>
    </row>
    <row r="22" spans="1:9" ht="24.95" customHeight="1">
      <c r="A22" s="906" t="s">
        <v>135</v>
      </c>
      <c r="B22" s="907"/>
      <c r="C22" s="908"/>
      <c r="D22" s="287">
        <v>20</v>
      </c>
      <c r="E22" s="253"/>
      <c r="F22" s="246"/>
      <c r="G22" s="246"/>
      <c r="H22" s="254"/>
      <c r="I22" s="259"/>
    </row>
    <row r="23" spans="1:9" ht="24.95" customHeight="1" thickBot="1">
      <c r="A23" s="909" t="s">
        <v>136</v>
      </c>
      <c r="B23" s="910"/>
      <c r="C23" s="910"/>
      <c r="D23" s="590" t="e">
        <f>IF(B13&lt;B17,0,IF(B13&gt;B18,20,Rad_Punktemin+(Rad_Punktemax-Rad_Punktemin)/(B18-B17)*(B13-B17)))</f>
        <v>#DIV/0!</v>
      </c>
      <c r="E23" s="592" t="e">
        <f>IF(D23&lt;Rad_Punktemin,"Mindestausstattung nicht erreicht!","")</f>
        <v>#DIV/0!</v>
      </c>
      <c r="F23" s="247"/>
      <c r="G23" s="591"/>
      <c r="H23" s="254"/>
      <c r="I23" s="259"/>
    </row>
    <row r="24" spans="1:9" ht="24.95" customHeight="1">
      <c r="A24" s="246"/>
      <c r="B24" s="246"/>
      <c r="C24" s="246"/>
      <c r="D24" s="246"/>
      <c r="E24" s="246"/>
      <c r="F24" s="246"/>
      <c r="G24" s="288"/>
      <c r="H24" s="288"/>
    </row>
    <row r="25" spans="1:9" ht="24.95" customHeight="1">
      <c r="A25" s="246"/>
      <c r="B25" s="246"/>
      <c r="C25" s="246"/>
      <c r="D25" s="246"/>
      <c r="E25" s="246"/>
      <c r="F25" s="246"/>
      <c r="G25" s="246"/>
      <c r="H25" s="246"/>
    </row>
    <row r="26" spans="1:9" ht="24.95" customHeight="1"/>
    <row r="27" spans="1:9" ht="24.95" customHeight="1"/>
    <row r="28" spans="1:9" ht="24.95" customHeight="1"/>
    <row r="29" spans="1:9" ht="24.95" customHeight="1"/>
    <row r="30" spans="1:9" ht="9" customHeight="1"/>
    <row r="31" spans="1:9" ht="6" customHeight="1"/>
  </sheetData>
  <mergeCells count="11">
    <mergeCell ref="B4:D4"/>
    <mergeCell ref="B5:D5"/>
    <mergeCell ref="A21:C21"/>
    <mergeCell ref="A22:C22"/>
    <mergeCell ref="A23:C23"/>
    <mergeCell ref="B16:C16"/>
    <mergeCell ref="D16:E16"/>
    <mergeCell ref="B17:C17"/>
    <mergeCell ref="D17:E17"/>
    <mergeCell ref="B18:C18"/>
    <mergeCell ref="D18:E18"/>
  </mergeCells>
  <dataValidations count="1">
    <dataValidation type="list" allowBlank="1" showInputMessage="1" showErrorMessage="1" sqref="B5:D5">
      <formula1>Objekttyp</formula1>
    </dataValidation>
  </dataValidations>
  <pageMargins left="0.59055118110236238" right="0.59055118110236238" top="0.59055118110236238" bottom="0.59055118110236238" header="0.31496062992125984" footer="0.31496062992125984"/>
  <pageSetup paperSize="9" scale="6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40"/>
  <sheetViews>
    <sheetView zoomScaleNormal="100" workbookViewId="0">
      <selection activeCell="C3" sqref="C3"/>
    </sheetView>
  </sheetViews>
  <sheetFormatPr baseColWidth="10" defaultColWidth="11.42578125" defaultRowHeight="15"/>
  <cols>
    <col min="1" max="1" width="73.85546875" style="244" customWidth="1"/>
    <col min="2" max="2" width="45" style="244" customWidth="1"/>
    <col min="3" max="4" width="9.5703125" style="244" bestFit="1" customWidth="1"/>
    <col min="5" max="16384" width="11.42578125" style="244"/>
  </cols>
  <sheetData>
    <row r="1" spans="1:4">
      <c r="A1" s="289" t="s">
        <v>116</v>
      </c>
      <c r="B1" s="289" t="s">
        <v>286</v>
      </c>
      <c r="C1" s="289" t="s">
        <v>292</v>
      </c>
      <c r="D1" s="289" t="s">
        <v>293</v>
      </c>
    </row>
    <row r="2" spans="1:4">
      <c r="A2" s="290" t="s">
        <v>137</v>
      </c>
      <c r="B2" s="291" t="s">
        <v>287</v>
      </c>
      <c r="C2" s="587">
        <f>1/95</f>
        <v>1.0526315789473684E-2</v>
      </c>
      <c r="D2" s="587">
        <f>1/80</f>
        <v>1.2500000000000001E-2</v>
      </c>
    </row>
    <row r="3" spans="1:4">
      <c r="A3" s="581" t="s">
        <v>281</v>
      </c>
      <c r="B3" s="291" t="s">
        <v>288</v>
      </c>
      <c r="C3" s="587">
        <v>5.25</v>
      </c>
      <c r="D3" s="587">
        <v>6</v>
      </c>
    </row>
    <row r="4" spans="1:4">
      <c r="A4" s="581" t="s">
        <v>282</v>
      </c>
      <c r="B4" s="291" t="s">
        <v>289</v>
      </c>
      <c r="C4" s="587">
        <f>1/2.85</f>
        <v>0.35087719298245612</v>
      </c>
      <c r="D4" s="587">
        <f>1/2.4</f>
        <v>0.41666666666666669</v>
      </c>
    </row>
    <row r="5" spans="1:4">
      <c r="A5" s="581" t="s">
        <v>283</v>
      </c>
      <c r="B5" s="291" t="s">
        <v>289</v>
      </c>
      <c r="C5" s="587">
        <f>1/4.75</f>
        <v>0.21052631578947367</v>
      </c>
      <c r="D5" s="587">
        <f>1/4</f>
        <v>0.25</v>
      </c>
    </row>
    <row r="6" spans="1:4">
      <c r="A6" s="581" t="s">
        <v>284</v>
      </c>
      <c r="B6" s="291" t="s">
        <v>290</v>
      </c>
      <c r="C6" s="587">
        <f>1/9.5</f>
        <v>0.10526315789473684</v>
      </c>
      <c r="D6" s="587">
        <f>1/8</f>
        <v>0.125</v>
      </c>
    </row>
    <row r="7" spans="1:4">
      <c r="A7" s="581" t="s">
        <v>285</v>
      </c>
      <c r="B7" s="291" t="s">
        <v>291</v>
      </c>
      <c r="C7" s="587">
        <f>1/9.5</f>
        <v>0.10526315789473684</v>
      </c>
      <c r="D7" s="587">
        <f>1/8</f>
        <v>0.125</v>
      </c>
    </row>
    <row r="10" spans="1:4" ht="15.75" thickBot="1">
      <c r="A10" s="582"/>
    </row>
    <row r="11" spans="1:4">
      <c r="A11" s="583" t="s">
        <v>294</v>
      </c>
    </row>
    <row r="12" spans="1:4">
      <c r="A12" s="584" t="s">
        <v>295</v>
      </c>
    </row>
    <row r="13" spans="1:4">
      <c r="A13" s="584" t="s">
        <v>296</v>
      </c>
    </row>
    <row r="14" spans="1:4">
      <c r="A14" s="584" t="s">
        <v>297</v>
      </c>
    </row>
    <row r="15" spans="1:4">
      <c r="A15" s="584"/>
    </row>
    <row r="16" spans="1:4">
      <c r="A16" s="585" t="s">
        <v>298</v>
      </c>
    </row>
    <row r="17" spans="1:1">
      <c r="A17" s="584" t="s">
        <v>299</v>
      </c>
    </row>
    <row r="18" spans="1:1">
      <c r="A18" s="584" t="s">
        <v>300</v>
      </c>
    </row>
    <row r="19" spans="1:1">
      <c r="A19" s="584" t="s">
        <v>301</v>
      </c>
    </row>
    <row r="20" spans="1:1">
      <c r="A20" s="584"/>
    </row>
    <row r="21" spans="1:1">
      <c r="A21" s="585" t="s">
        <v>302</v>
      </c>
    </row>
    <row r="22" spans="1:1">
      <c r="A22" s="584" t="s">
        <v>303</v>
      </c>
    </row>
    <row r="23" spans="1:1">
      <c r="A23" s="584" t="s">
        <v>304</v>
      </c>
    </row>
    <row r="24" spans="1:1">
      <c r="A24" s="584" t="s">
        <v>305</v>
      </c>
    </row>
    <row r="25" spans="1:1">
      <c r="A25" s="584"/>
    </row>
    <row r="26" spans="1:1">
      <c r="A26" s="585" t="s">
        <v>306</v>
      </c>
    </row>
    <row r="27" spans="1:1">
      <c r="A27" s="584" t="s">
        <v>307</v>
      </c>
    </row>
    <row r="28" spans="1:1">
      <c r="A28" s="584" t="s">
        <v>308</v>
      </c>
    </row>
    <row r="29" spans="1:1">
      <c r="A29" s="584" t="s">
        <v>309</v>
      </c>
    </row>
    <row r="30" spans="1:1">
      <c r="A30" s="584"/>
    </row>
    <row r="31" spans="1:1">
      <c r="A31" s="585" t="s">
        <v>310</v>
      </c>
    </row>
    <row r="32" spans="1:1">
      <c r="A32" s="584" t="s">
        <v>311</v>
      </c>
    </row>
    <row r="33" spans="1:1">
      <c r="A33" s="584" t="s">
        <v>312</v>
      </c>
    </row>
    <row r="34" spans="1:1">
      <c r="A34" s="584" t="s">
        <v>313</v>
      </c>
    </row>
    <row r="35" spans="1:1">
      <c r="A35" s="584"/>
    </row>
    <row r="36" spans="1:1">
      <c r="A36" s="585" t="s">
        <v>314</v>
      </c>
    </row>
    <row r="37" spans="1:1">
      <c r="A37" s="584" t="s">
        <v>315</v>
      </c>
    </row>
    <row r="38" spans="1:1">
      <c r="A38" s="584" t="s">
        <v>316</v>
      </c>
    </row>
    <row r="39" spans="1:1">
      <c r="A39" s="584" t="s">
        <v>317</v>
      </c>
    </row>
    <row r="40" spans="1:1" ht="15.75" thickBot="1">
      <c r="A40" s="586"/>
    </row>
  </sheetData>
  <pageMargins left="0.7" right="0.7" top="0.78740157500000008" bottom="0.78740157500000008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showGridLines="0" zoomScaleNormal="100" workbookViewId="0">
      <selection activeCell="B12" sqref="B12:B13"/>
    </sheetView>
  </sheetViews>
  <sheetFormatPr baseColWidth="10" defaultColWidth="11.42578125" defaultRowHeight="12.75"/>
  <cols>
    <col min="1" max="1" width="92.5703125" style="761" customWidth="1"/>
    <col min="2" max="2" width="11.42578125" style="762"/>
    <col min="3" max="3" width="11.42578125" style="761" customWidth="1"/>
    <col min="4" max="4" width="0.140625" style="761" customWidth="1"/>
    <col min="5" max="5" width="30.7109375" style="761" customWidth="1"/>
    <col min="6" max="16384" width="11.42578125" style="761"/>
  </cols>
  <sheetData>
    <row r="1" spans="1:5" s="730" customFormat="1" ht="24.95" customHeight="1">
      <c r="A1" s="916" t="s">
        <v>414</v>
      </c>
      <c r="B1" s="917"/>
      <c r="C1" s="917"/>
      <c r="D1" s="917"/>
    </row>
    <row r="2" spans="1:5" s="734" customFormat="1" ht="7.5" customHeight="1" thickBot="1">
      <c r="A2" s="690"/>
      <c r="B2" s="732"/>
      <c r="C2" s="732"/>
      <c r="D2" s="733"/>
    </row>
    <row r="3" spans="1:5" s="734" customFormat="1" ht="38.25">
      <c r="A3" s="773" t="s">
        <v>68</v>
      </c>
      <c r="B3" s="774" t="s">
        <v>415</v>
      </c>
      <c r="C3" s="775" t="s">
        <v>70</v>
      </c>
      <c r="D3" s="734">
        <v>0</v>
      </c>
      <c r="E3" s="737" t="s">
        <v>24</v>
      </c>
    </row>
    <row r="4" spans="1:5" s="734" customFormat="1" ht="24.95" customHeight="1">
      <c r="A4" s="776" t="s">
        <v>412</v>
      </c>
      <c r="B4" s="918"/>
      <c r="C4" s="919"/>
      <c r="D4" s="734">
        <v>5</v>
      </c>
      <c r="E4" s="754"/>
    </row>
    <row r="5" spans="1:5" s="734" customFormat="1" ht="24.95" customHeight="1">
      <c r="A5" s="772" t="s">
        <v>410</v>
      </c>
      <c r="B5" s="751">
        <v>5</v>
      </c>
      <c r="C5" s="704">
        <v>0</v>
      </c>
      <c r="E5" s="752"/>
    </row>
    <row r="6" spans="1:5" s="734" customFormat="1" ht="24.95" customHeight="1">
      <c r="A6" t="s">
        <v>411</v>
      </c>
      <c r="B6" s="751">
        <v>5</v>
      </c>
      <c r="C6" s="756">
        <v>0</v>
      </c>
      <c r="D6" s="734">
        <v>0</v>
      </c>
      <c r="E6" s="752"/>
    </row>
    <row r="7" spans="1:5" s="759" customFormat="1" ht="24.95" customHeight="1" thickBot="1">
      <c r="A7" s="727" t="s">
        <v>67</v>
      </c>
      <c r="B7" s="757"/>
      <c r="C7" s="758">
        <f>IF(SUM(C5:C6)&lt;=5, SUM(C5:C6),5)</f>
        <v>0</v>
      </c>
      <c r="D7" s="759">
        <v>5</v>
      </c>
      <c r="E7" s="760"/>
    </row>
  </sheetData>
  <sheetProtection selectLockedCells="1"/>
  <mergeCells count="2">
    <mergeCell ref="A1:D1"/>
    <mergeCell ref="B4:C4"/>
  </mergeCells>
  <dataValidations count="2">
    <dataValidation type="list" allowBlank="1" showInputMessage="1" showErrorMessage="1" errorTitle="Falscher Wert!" error="Bitte geben Sie die Zahl 0 oder 5 ein." sqref="C6">
      <formula1>$D$6:$D$7</formula1>
    </dataValidation>
    <dataValidation type="list" allowBlank="1" showInputMessage="1" showErrorMessage="1" errorTitle="Falscher Wert!" error="Bitte geben Sie die Zahl 0 oder 5 ein." sqref="C5">
      <formula1>$D$3:$D$4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workbookViewId="0">
      <selection activeCell="K13" sqref="K13"/>
    </sheetView>
  </sheetViews>
  <sheetFormatPr baseColWidth="10" defaultRowHeight="12.75"/>
  <cols>
    <col min="1" max="1" width="26" customWidth="1"/>
    <col min="2" max="2" width="69.42578125" customWidth="1"/>
    <col min="3" max="3" width="24.42578125" customWidth="1"/>
    <col min="4" max="4" width="15.5703125" customWidth="1"/>
    <col min="5" max="5" width="13" bestFit="1" customWidth="1"/>
    <col min="6" max="8" width="11.42578125" hidden="1" customWidth="1"/>
    <col min="9" max="9" width="40.85546875" customWidth="1"/>
  </cols>
  <sheetData>
    <row r="1" spans="1:10" ht="15.75">
      <c r="A1" s="864" t="s">
        <v>379</v>
      </c>
      <c r="B1" s="845"/>
      <c r="C1" s="845"/>
      <c r="D1" s="845"/>
      <c r="E1" s="845"/>
      <c r="F1" s="845"/>
      <c r="G1" s="845"/>
      <c r="H1" s="845"/>
      <c r="I1" s="845"/>
      <c r="J1" s="845"/>
    </row>
    <row r="2" spans="1:10" ht="13.5" thickBot="1"/>
    <row r="3" spans="1:10" ht="26.1" customHeight="1">
      <c r="A3" s="593" t="s">
        <v>85</v>
      </c>
      <c r="B3" s="597" t="s">
        <v>86</v>
      </c>
      <c r="C3" s="597" t="s">
        <v>87</v>
      </c>
      <c r="D3" s="607" t="s">
        <v>340</v>
      </c>
      <c r="E3" s="216" t="s">
        <v>70</v>
      </c>
      <c r="I3" s="598" t="s">
        <v>24</v>
      </c>
    </row>
    <row r="4" spans="1:10" ht="26.1" customHeight="1">
      <c r="A4" s="921" t="s">
        <v>338</v>
      </c>
      <c r="B4" s="594" t="s">
        <v>341</v>
      </c>
      <c r="C4" s="594"/>
      <c r="D4" s="608">
        <v>3</v>
      </c>
      <c r="E4" s="611"/>
      <c r="F4">
        <v>0</v>
      </c>
      <c r="G4">
        <v>3</v>
      </c>
      <c r="I4" s="599"/>
    </row>
    <row r="5" spans="1:10" ht="26.1" customHeight="1">
      <c r="A5" s="921"/>
      <c r="B5" s="594" t="s">
        <v>318</v>
      </c>
      <c r="C5" s="594"/>
      <c r="D5" s="608">
        <v>3</v>
      </c>
      <c r="E5" s="611"/>
      <c r="F5">
        <v>0</v>
      </c>
      <c r="G5">
        <v>3</v>
      </c>
      <c r="I5" s="599"/>
    </row>
    <row r="6" spans="1:10" ht="26.1" customHeight="1">
      <c r="A6" s="921"/>
      <c r="B6" s="594" t="s">
        <v>319</v>
      </c>
      <c r="C6" s="594"/>
      <c r="D6" s="608">
        <v>3</v>
      </c>
      <c r="E6" s="611"/>
      <c r="F6">
        <v>0</v>
      </c>
      <c r="G6">
        <v>3</v>
      </c>
      <c r="I6" s="599"/>
    </row>
    <row r="7" spans="1:10" ht="26.1" customHeight="1">
      <c r="A7" s="921"/>
      <c r="B7" s="595" t="s">
        <v>320</v>
      </c>
      <c r="C7" s="595"/>
      <c r="D7" s="610" t="s">
        <v>358</v>
      </c>
      <c r="E7" s="223">
        <f>SUM(E4:E6)</f>
        <v>0</v>
      </c>
      <c r="I7" s="599"/>
    </row>
    <row r="8" spans="1:10" ht="26.1" customHeight="1">
      <c r="A8" s="921" t="s">
        <v>321</v>
      </c>
      <c r="B8" s="594" t="s">
        <v>322</v>
      </c>
      <c r="C8" s="606" t="s">
        <v>323</v>
      </c>
      <c r="D8" s="609">
        <v>3</v>
      </c>
      <c r="E8" s="611"/>
      <c r="F8">
        <v>0</v>
      </c>
      <c r="G8">
        <v>3</v>
      </c>
      <c r="I8" s="599"/>
    </row>
    <row r="9" spans="1:10" ht="26.1" customHeight="1">
      <c r="A9" s="921"/>
      <c r="B9" s="595" t="s">
        <v>324</v>
      </c>
      <c r="C9" s="595"/>
      <c r="D9" s="236" t="s">
        <v>325</v>
      </c>
      <c r="E9" s="223">
        <f>E8</f>
        <v>0</v>
      </c>
      <c r="I9" s="599"/>
    </row>
    <row r="10" spans="1:10" ht="26.1" customHeight="1">
      <c r="A10" s="921" t="s">
        <v>326</v>
      </c>
      <c r="B10" s="594" t="s">
        <v>327</v>
      </c>
      <c r="C10" s="594" t="s">
        <v>328</v>
      </c>
      <c r="D10" s="608">
        <v>2</v>
      </c>
      <c r="E10" s="611"/>
      <c r="F10">
        <v>0</v>
      </c>
      <c r="G10">
        <v>2</v>
      </c>
      <c r="I10" s="599"/>
    </row>
    <row r="11" spans="1:10" ht="26.1" customHeight="1">
      <c r="A11" s="921"/>
      <c r="B11" s="595" t="s">
        <v>329</v>
      </c>
      <c r="C11" s="595"/>
      <c r="D11" s="601" t="s">
        <v>330</v>
      </c>
      <c r="E11" s="223">
        <f>E10</f>
        <v>0</v>
      </c>
      <c r="I11" s="599"/>
    </row>
    <row r="12" spans="1:10" ht="26.1" customHeight="1">
      <c r="A12" s="921" t="s">
        <v>339</v>
      </c>
      <c r="B12" s="596" t="s">
        <v>331</v>
      </c>
      <c r="C12" s="594" t="s">
        <v>328</v>
      </c>
      <c r="D12" s="608">
        <v>2</v>
      </c>
      <c r="E12" s="611"/>
      <c r="F12">
        <v>0</v>
      </c>
      <c r="G12">
        <v>2</v>
      </c>
      <c r="I12" s="599"/>
    </row>
    <row r="13" spans="1:10" ht="26.1" customHeight="1">
      <c r="A13" s="921"/>
      <c r="B13" s="595" t="s">
        <v>329</v>
      </c>
      <c r="C13" s="595"/>
      <c r="D13" s="601" t="s">
        <v>330</v>
      </c>
      <c r="E13" s="223">
        <f>E12</f>
        <v>0</v>
      </c>
      <c r="I13" s="599"/>
    </row>
    <row r="14" spans="1:10" ht="26.1" customHeight="1">
      <c r="A14" s="921" t="s">
        <v>332</v>
      </c>
      <c r="B14" s="596" t="s">
        <v>333</v>
      </c>
      <c r="C14" s="594" t="s">
        <v>334</v>
      </c>
      <c r="D14" s="608">
        <v>2</v>
      </c>
      <c r="E14" s="611"/>
      <c r="F14">
        <v>0</v>
      </c>
      <c r="G14">
        <v>2</v>
      </c>
      <c r="I14" s="599"/>
    </row>
    <row r="15" spans="1:10" ht="26.1" customHeight="1">
      <c r="A15" s="921"/>
      <c r="B15" s="596" t="s">
        <v>335</v>
      </c>
      <c r="C15" s="594" t="s">
        <v>334</v>
      </c>
      <c r="D15" s="608">
        <v>2</v>
      </c>
      <c r="E15" s="611">
        <v>0</v>
      </c>
      <c r="F15">
        <v>0</v>
      </c>
      <c r="G15">
        <v>2</v>
      </c>
      <c r="I15" s="599"/>
    </row>
    <row r="16" spans="1:10" ht="26.1" customHeight="1">
      <c r="A16" s="921"/>
      <c r="B16" s="595" t="s">
        <v>336</v>
      </c>
      <c r="C16" s="595"/>
      <c r="D16" s="601" t="s">
        <v>337</v>
      </c>
      <c r="E16" s="223">
        <f>SUM(E14:E15)</f>
        <v>0</v>
      </c>
      <c r="I16" s="599"/>
    </row>
    <row r="17" spans="1:9" ht="26.1" customHeight="1" thickBot="1">
      <c r="A17" s="187" t="s">
        <v>67</v>
      </c>
      <c r="B17" s="208"/>
      <c r="C17" s="604"/>
      <c r="D17" s="208"/>
      <c r="E17" s="209">
        <f>IF(SUM(E7,E9,E11,E13,E16)&lt;20,SUM(E7,E9,E11,E13,E16),20)</f>
        <v>0</v>
      </c>
      <c r="I17" s="920"/>
    </row>
    <row r="18" spans="1:9">
      <c r="A18" s="574"/>
      <c r="I18" s="920"/>
    </row>
    <row r="19" spans="1:9">
      <c r="I19" s="572"/>
    </row>
    <row r="20" spans="1:9">
      <c r="I20" s="572"/>
    </row>
    <row r="21" spans="1:9">
      <c r="I21" s="572"/>
    </row>
    <row r="22" spans="1:9">
      <c r="I22" s="572"/>
    </row>
    <row r="23" spans="1:9">
      <c r="I23" s="572"/>
    </row>
    <row r="24" spans="1:9">
      <c r="I24" s="572"/>
    </row>
    <row r="25" spans="1:9">
      <c r="I25" s="572"/>
    </row>
    <row r="26" spans="1:9">
      <c r="I26" s="572"/>
    </row>
    <row r="27" spans="1:9">
      <c r="I27" s="572"/>
    </row>
    <row r="28" spans="1:9">
      <c r="I28" s="572"/>
    </row>
    <row r="29" spans="1:9" ht="15">
      <c r="I29" s="600"/>
    </row>
  </sheetData>
  <mergeCells count="7">
    <mergeCell ref="I17:I18"/>
    <mergeCell ref="A1:J1"/>
    <mergeCell ref="A10:A11"/>
    <mergeCell ref="A12:A13"/>
    <mergeCell ref="A14:A16"/>
    <mergeCell ref="A4:A7"/>
    <mergeCell ref="A8:A9"/>
  </mergeCells>
  <dataValidations count="8">
    <dataValidation type="list" allowBlank="1" showInputMessage="1" showErrorMessage="1" sqref="E4">
      <formula1>$F$4:$G$4</formula1>
    </dataValidation>
    <dataValidation type="list" allowBlank="1" showInputMessage="1" showErrorMessage="1" sqref="E5">
      <formula1>$F$5:$G$5</formula1>
    </dataValidation>
    <dataValidation type="list" allowBlank="1" showInputMessage="1" showErrorMessage="1" sqref="E6">
      <formula1>$F$6:$G$6</formula1>
    </dataValidation>
    <dataValidation type="list" allowBlank="1" showInputMessage="1" showErrorMessage="1" sqref="E8">
      <formula1>$F$8:$G$8</formula1>
    </dataValidation>
    <dataValidation type="list" allowBlank="1" showInputMessage="1" showErrorMessage="1" sqref="E10">
      <formula1>$F$10:$G$10</formula1>
    </dataValidation>
    <dataValidation type="list" allowBlank="1" showInputMessage="1" showErrorMessage="1" sqref="E12">
      <formula1>$F$12:$G$12</formula1>
    </dataValidation>
    <dataValidation type="list" allowBlank="1" showInputMessage="1" showErrorMessage="1" sqref="E14">
      <formula1>$F$14:$G$14</formula1>
    </dataValidation>
    <dataValidation type="list" allowBlank="1" showInputMessage="1" showErrorMessage="1" sqref="E15">
      <formula1>$F$15:$G$15</formula1>
    </dataValidation>
  </dataValidation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showGridLines="0" topLeftCell="A4" zoomScaleNormal="100" workbookViewId="0">
      <selection activeCell="B12" sqref="B12"/>
    </sheetView>
  </sheetViews>
  <sheetFormatPr baseColWidth="10" defaultColWidth="11.42578125" defaultRowHeight="12.75"/>
  <cols>
    <col min="1" max="1" width="59.5703125" style="687" customWidth="1"/>
    <col min="2" max="2" width="66.85546875" style="687" customWidth="1"/>
    <col min="3" max="3" width="11.7109375" style="687" customWidth="1"/>
    <col min="4" max="4" width="11.7109375" style="714" customWidth="1"/>
    <col min="5" max="5" width="11.42578125" style="687" hidden="1" customWidth="1"/>
    <col min="6" max="6" width="30.7109375" style="687" customWidth="1"/>
    <col min="7" max="16384" width="11.42578125" style="687"/>
  </cols>
  <sheetData>
    <row r="1" spans="1:6" ht="24.75" customHeight="1">
      <c r="A1" s="922" t="s">
        <v>395</v>
      </c>
      <c r="B1" s="922"/>
      <c r="C1" s="922"/>
      <c r="D1" s="922"/>
      <c r="F1" s="688"/>
    </row>
    <row r="2" spans="1:6" ht="7.5" customHeight="1" thickBot="1">
      <c r="A2" s="689"/>
      <c r="B2" s="689"/>
      <c r="C2" s="689"/>
      <c r="D2" s="690"/>
      <c r="E2" s="688"/>
      <c r="F2" s="688"/>
    </row>
    <row r="3" spans="1:6" s="697" customFormat="1" ht="38.25">
      <c r="A3" s="691" t="s">
        <v>380</v>
      </c>
      <c r="B3" s="692" t="s">
        <v>65</v>
      </c>
      <c r="C3" s="693" t="s">
        <v>227</v>
      </c>
      <c r="D3" s="694" t="s">
        <v>23</v>
      </c>
      <c r="E3" s="695"/>
      <c r="F3" s="696" t="s">
        <v>24</v>
      </c>
    </row>
    <row r="4" spans="1:6" ht="24.95" customHeight="1">
      <c r="A4" s="923" t="s">
        <v>381</v>
      </c>
      <c r="B4" s="924"/>
      <c r="C4" s="698"/>
      <c r="D4" s="699"/>
      <c r="E4" s="700">
        <v>0</v>
      </c>
      <c r="F4" s="701"/>
    </row>
    <row r="5" spans="1:6" ht="38.25">
      <c r="A5" s="702" t="s">
        <v>382</v>
      </c>
      <c r="B5" s="702" t="s">
        <v>451</v>
      </c>
      <c r="C5" s="703">
        <v>4</v>
      </c>
      <c r="D5" s="704">
        <v>0</v>
      </c>
      <c r="E5" s="688">
        <v>4</v>
      </c>
      <c r="F5" s="701"/>
    </row>
    <row r="6" spans="1:6" ht="24.95" customHeight="1">
      <c r="A6" s="925" t="s">
        <v>383</v>
      </c>
      <c r="B6" s="926"/>
      <c r="C6" s="705"/>
      <c r="D6" s="699"/>
      <c r="E6" s="700">
        <v>0</v>
      </c>
      <c r="F6" s="701"/>
    </row>
    <row r="7" spans="1:6" ht="30" customHeight="1">
      <c r="A7" s="702" t="s">
        <v>384</v>
      </c>
      <c r="B7" s="706" t="s">
        <v>449</v>
      </c>
      <c r="C7" s="707">
        <v>3</v>
      </c>
      <c r="D7" s="708"/>
      <c r="E7" s="688">
        <v>3</v>
      </c>
      <c r="F7" s="701"/>
    </row>
    <row r="8" spans="1:6" ht="38.25">
      <c r="A8" s="702" t="s">
        <v>385</v>
      </c>
      <c r="B8" s="799" t="s">
        <v>450</v>
      </c>
      <c r="C8" s="707">
        <v>3</v>
      </c>
      <c r="D8" s="708"/>
      <c r="E8" s="688"/>
      <c r="F8" s="701"/>
    </row>
    <row r="9" spans="1:6" ht="24.95" customHeight="1" thickBot="1">
      <c r="A9" s="927" t="s">
        <v>67</v>
      </c>
      <c r="B9" s="928"/>
      <c r="C9" s="709"/>
      <c r="D9" s="710">
        <f>IF(SUM(D4:D8)&lt;=10,SUM(D4:D8),10)</f>
        <v>0</v>
      </c>
      <c r="E9" s="711"/>
      <c r="F9" s="711"/>
    </row>
    <row r="10" spans="1:6" ht="24.95" customHeight="1">
      <c r="A10" s="929"/>
      <c r="B10" s="929"/>
      <c r="C10" s="712"/>
      <c r="D10" s="713"/>
      <c r="E10" s="688"/>
      <c r="F10" s="688"/>
    </row>
    <row r="11" spans="1:6" ht="24.95" customHeight="1"/>
    <row r="12" spans="1:6" ht="38.25" customHeight="1"/>
    <row r="13" spans="1:6" ht="24.95" customHeight="1"/>
    <row r="14" spans="1:6" s="711" customFormat="1" ht="32.25" customHeight="1">
      <c r="A14" s="687"/>
      <c r="B14" s="687"/>
      <c r="C14" s="687"/>
      <c r="D14" s="714"/>
      <c r="E14" s="715"/>
      <c r="F14" s="687"/>
    </row>
    <row r="15" spans="1:6" ht="14.25" customHeight="1">
      <c r="E15" s="715"/>
    </row>
    <row r="20" spans="2:2">
      <c r="B20" s="715"/>
    </row>
  </sheetData>
  <sheetProtection selectLockedCells="1"/>
  <mergeCells count="5">
    <mergeCell ref="A1:D1"/>
    <mergeCell ref="A4:B4"/>
    <mergeCell ref="A6:B6"/>
    <mergeCell ref="A9:B9"/>
    <mergeCell ref="A10:B10"/>
  </mergeCells>
  <dataValidations count="2">
    <dataValidation type="list" allowBlank="1" showInputMessage="1" showErrorMessage="1" errorTitle="Falscher Wert!" error="Bitte geben Sie die Zahl 0 oder 1 ein." sqref="D5">
      <formula1>$E$4:$E$5</formula1>
    </dataValidation>
    <dataValidation type="list" allowBlank="1" showInputMessage="1" showErrorMessage="1" errorTitle="Falscher Wert!" error="Bitte geben Sie die Zahl 0 oder 1 ein." sqref="D7:D8">
      <formula1>$E$6:$E$7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41</vt:i4>
      </vt:variant>
    </vt:vector>
  </HeadingPairs>
  <TitlesOfParts>
    <vt:vector size="63" baseType="lpstr">
      <vt:lpstr>Deckblatt</vt:lpstr>
      <vt:lpstr>Punktevergabe</vt:lpstr>
      <vt:lpstr>A 1.2</vt:lpstr>
      <vt:lpstr>A 1.3</vt:lpstr>
      <vt:lpstr>A 1.4</vt:lpstr>
      <vt:lpstr>Objektabelle</vt:lpstr>
      <vt:lpstr>A 1.5</vt:lpstr>
      <vt:lpstr>A 1.6</vt:lpstr>
      <vt:lpstr>A 1.7</vt:lpstr>
      <vt:lpstr>A 1.8</vt:lpstr>
      <vt:lpstr>B1 </vt:lpstr>
      <vt:lpstr>B1 Graphik</vt:lpstr>
      <vt:lpstr>B1b </vt:lpstr>
      <vt:lpstr>B1b Graphik</vt:lpstr>
      <vt:lpstr>B 1.5</vt:lpstr>
      <vt:lpstr>C 1.1</vt:lpstr>
      <vt:lpstr>C 1.2</vt:lpstr>
      <vt:lpstr>C 2.1</vt:lpstr>
      <vt:lpstr>D 1.1</vt:lpstr>
      <vt:lpstr>D 1.2</vt:lpstr>
      <vt:lpstr>D 2.1</vt:lpstr>
      <vt:lpstr>D 2.2</vt:lpstr>
      <vt:lpstr>'A 1.2'!_ftn1</vt:lpstr>
      <vt:lpstr>'C 1.1'!_ftn2</vt:lpstr>
      <vt:lpstr>'C 1.2'!_ftn2</vt:lpstr>
      <vt:lpstr>'C 1.1'!_ftn3</vt:lpstr>
      <vt:lpstr>'C 1.2'!_ftn3</vt:lpstr>
      <vt:lpstr>'C 1.1'!_ftn4</vt:lpstr>
      <vt:lpstr>'C 1.2'!_ftn4</vt:lpstr>
      <vt:lpstr>'A 1.3'!_ftnref1</vt:lpstr>
      <vt:lpstr>'C 1.1'!_ftnref2</vt:lpstr>
      <vt:lpstr>'C 1.2'!_ftnref2</vt:lpstr>
      <vt:lpstr>'B1 '!_Toc279322313</vt:lpstr>
      <vt:lpstr>'B1b '!_Toc279322313</vt:lpstr>
      <vt:lpstr>'B1 '!_Toc279405076</vt:lpstr>
      <vt:lpstr>'B1b '!_Toc279405076</vt:lpstr>
      <vt:lpstr>'C 1.2'!DropdownC1.1</vt:lpstr>
      <vt:lpstr>DropdownC1.1</vt:lpstr>
      <vt:lpstr>'A 1.2'!Druckbereich</vt:lpstr>
      <vt:lpstr>'A 1.3'!Druckbereich</vt:lpstr>
      <vt:lpstr>'A 1.4'!Druckbereich</vt:lpstr>
      <vt:lpstr>'A 1.5'!Druckbereich</vt:lpstr>
      <vt:lpstr>'A 1.7'!Druckbereich</vt:lpstr>
      <vt:lpstr>'A 1.8'!Druckbereich</vt:lpstr>
      <vt:lpstr>'B 1.5'!Druckbereich</vt:lpstr>
      <vt:lpstr>'B1 '!Druckbereich</vt:lpstr>
      <vt:lpstr>'B1b '!Druckbereich</vt:lpstr>
      <vt:lpstr>'C 1.1'!Druckbereich</vt:lpstr>
      <vt:lpstr>'C 1.2'!Druckbereich</vt:lpstr>
      <vt:lpstr>'C 2.1'!Druckbereich</vt:lpstr>
      <vt:lpstr>'D 1.1'!Druckbereich</vt:lpstr>
      <vt:lpstr>'D 1.2'!Druckbereich</vt:lpstr>
      <vt:lpstr>'D 2.1'!Druckbereich</vt:lpstr>
      <vt:lpstr>'D 2.2'!Druckbereich</vt:lpstr>
      <vt:lpstr>Punktevergabe!Druckbereich</vt:lpstr>
      <vt:lpstr>EigennutzungPV</vt:lpstr>
      <vt:lpstr>Objekttyp</vt:lpstr>
      <vt:lpstr>'A 1.4'!Rad_Druckbereich</vt:lpstr>
      <vt:lpstr>'A 1.4'!Rad_Max</vt:lpstr>
      <vt:lpstr>'A 1.4'!Rad_Min</vt:lpstr>
      <vt:lpstr>'A 1.4'!Rad_Planstand</vt:lpstr>
      <vt:lpstr>'A 1.4'!Rad_Punktemax</vt:lpstr>
      <vt:lpstr>'A 1.4'!Rad_Punktemin</vt:lpstr>
    </vt:vector>
  </TitlesOfParts>
  <Company>IBO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Rechenknecht</dc:creator>
  <cp:lastModifiedBy>Julia Schmidt</cp:lastModifiedBy>
  <cp:revision>1</cp:revision>
  <dcterms:created xsi:type="dcterms:W3CDTF">2005-07-27T13:49:14Z</dcterms:created>
  <dcterms:modified xsi:type="dcterms:W3CDTF">2021-02-22T13:39:49Z</dcterms:modified>
</cp:coreProperties>
</file>